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na.silenko\Desktop\"/>
    </mc:Choice>
  </mc:AlternateContent>
  <workbookProtection workbookAlgorithmName="SHA-512" workbookHashValue="nn9Y1bmLLLL0uiEn1dgaP7jO4jb7SGa0DZ8j84EXgnPbW4rw67/HUMbjHJ56kpdq36N+3Yd9llXwOn4X9IHqsA==" workbookSaltValue="hOgBOrkH9+qVmBEp+IDo5Q==" workbookSpinCount="100000" lockStructure="1"/>
  <bookViews>
    <workbookView xWindow="0" yWindow="0" windowWidth="19200" windowHeight="11595" tabRatio="867" firstSheet="4" activeTab="6"/>
  </bookViews>
  <sheets>
    <sheet name="639" sheetId="1" r:id="rId1"/>
    <sheet name="415" sheetId="2" r:id="rId2"/>
    <sheet name="447" sheetId="3" r:id="rId3"/>
    <sheet name="447 (перед.привод)" sheetId="4" r:id="rId4"/>
    <sheet name="904" sheetId="5" r:id="rId5"/>
    <sheet name="906" sheetId="6" r:id="rId6"/>
    <sheet name="907" sheetId="7" r:id="rId7"/>
    <sheet name="909" sheetId="8" r:id="rId8"/>
    <sheet name="910" sheetId="9" r:id="rId9"/>
    <sheet name="Atego 970057" sheetId="10" r:id="rId10"/>
    <sheet name="Аtego 970058" sheetId="11" r:id="rId11"/>
    <sheet name="Axor 944032" sheetId="12" r:id="rId12"/>
    <sheet name="Actros 932317(4мост)" sheetId="13" r:id="rId13"/>
    <sheet name="Actros 930208" sheetId="14" r:id="rId14"/>
    <sheet name="Actros 934141" sheetId="15" r:id="rId15"/>
    <sheet name="Unimoug 405100" sheetId="16" r:id="rId16"/>
    <sheet name="Atego970265" sheetId="17" r:id="rId17"/>
    <sheet name="Atego970277" sheetId="18" r:id="rId18"/>
    <sheet name="Axor950535" sheetId="19" r:id="rId19"/>
    <sheet name="Axor950605" sheetId="20" r:id="rId20"/>
    <sheet name="Actros934032new" sheetId="21" r:id="rId21"/>
    <sheet name="Actros930205" sheetId="22" r:id="rId22"/>
    <sheet name="Actros930145" sheetId="23" r:id="rId23"/>
    <sheet name="Actros932163" sheetId="24" r:id="rId24"/>
    <sheet name="Actros932315" sheetId="25" r:id="rId25"/>
    <sheet name="Actros 9634031" sheetId="26" r:id="rId26"/>
  </sheets>
  <definedNames>
    <definedName name="Z_31C35E15_B94C_48F0_9D3D_ED5C3B09173A_.wvu.Cols" localSheetId="1" hidden="1">'415'!$H:$I</definedName>
    <definedName name="Z_31C35E15_B94C_48F0_9D3D_ED5C3B09173A_.wvu.Cols" localSheetId="2" hidden="1">'447'!$H:$I</definedName>
    <definedName name="Z_31C35E15_B94C_48F0_9D3D_ED5C3B09173A_.wvu.Cols" localSheetId="3" hidden="1">'447 (перед.привод)'!$H:$J</definedName>
    <definedName name="Z_31C35E15_B94C_48F0_9D3D_ED5C3B09173A_.wvu.Cols" localSheetId="0" hidden="1">'639'!$H:$K</definedName>
    <definedName name="Z_31C35E15_B94C_48F0_9D3D_ED5C3B09173A_.wvu.Cols" localSheetId="4" hidden="1">'904'!$H:$I</definedName>
    <definedName name="Z_31C35E15_B94C_48F0_9D3D_ED5C3B09173A_.wvu.Cols" localSheetId="5" hidden="1">'906'!$H:$I</definedName>
    <definedName name="Z_31C35E15_B94C_48F0_9D3D_ED5C3B09173A_.wvu.Cols" localSheetId="6" hidden="1">'907'!$I:$I</definedName>
    <definedName name="Z_31C35E15_B94C_48F0_9D3D_ED5C3B09173A_.wvu.Cols" localSheetId="7" hidden="1">'909'!$I:$J</definedName>
    <definedName name="Z_31C35E15_B94C_48F0_9D3D_ED5C3B09173A_.wvu.Cols" localSheetId="8" hidden="1">'910'!$I:$J</definedName>
    <definedName name="Z_31C35E15_B94C_48F0_9D3D_ED5C3B09173A_.wvu.Cols" localSheetId="13" hidden="1">'Actros 930208'!$H:$K</definedName>
    <definedName name="Z_31C35E15_B94C_48F0_9D3D_ED5C3B09173A_.wvu.Cols" localSheetId="12" hidden="1">'Actros 932317(4мост)'!$H:$M,'Actros 932317(4мост)'!$O:$O</definedName>
    <definedName name="Z_31C35E15_B94C_48F0_9D3D_ED5C3B09173A_.wvu.Cols" localSheetId="14" hidden="1">'Actros 934141'!$J:$K</definedName>
    <definedName name="Z_31C35E15_B94C_48F0_9D3D_ED5C3B09173A_.wvu.Cols" localSheetId="25" hidden="1">'Actros 9634031'!$H:$Q</definedName>
    <definedName name="Z_31C35E15_B94C_48F0_9D3D_ED5C3B09173A_.wvu.Cols" localSheetId="22" hidden="1">Actros930145!$H:$N</definedName>
    <definedName name="Z_31C35E15_B94C_48F0_9D3D_ED5C3B09173A_.wvu.Cols" localSheetId="21" hidden="1">Actros930205!$I:$N</definedName>
    <definedName name="Z_31C35E15_B94C_48F0_9D3D_ED5C3B09173A_.wvu.Cols" localSheetId="23" hidden="1">Actros932163!$H:$O</definedName>
    <definedName name="Z_31C35E15_B94C_48F0_9D3D_ED5C3B09173A_.wvu.Cols" localSheetId="24" hidden="1">Actros932315!$I:$N</definedName>
    <definedName name="Z_31C35E15_B94C_48F0_9D3D_ED5C3B09173A_.wvu.Cols" localSheetId="20" hidden="1">Actros934032new!$H:$P</definedName>
    <definedName name="Z_31C35E15_B94C_48F0_9D3D_ED5C3B09173A_.wvu.Cols" localSheetId="9" hidden="1">'Atego 970057'!$H:$I,'Atego 970057'!$K:$L</definedName>
    <definedName name="Z_31C35E15_B94C_48F0_9D3D_ED5C3B09173A_.wvu.Cols" localSheetId="16" hidden="1">Atego970265!$H:$L</definedName>
    <definedName name="Z_31C35E15_B94C_48F0_9D3D_ED5C3B09173A_.wvu.Cols" localSheetId="17" hidden="1">Atego970277!$H:$K</definedName>
    <definedName name="Z_31C35E15_B94C_48F0_9D3D_ED5C3B09173A_.wvu.Cols" localSheetId="11" hidden="1">'Axor 944032'!$H:$N</definedName>
    <definedName name="Z_31C35E15_B94C_48F0_9D3D_ED5C3B09173A_.wvu.Cols" localSheetId="18" hidden="1">Axor950535!$M:$M</definedName>
    <definedName name="Z_31C35E15_B94C_48F0_9D3D_ED5C3B09173A_.wvu.Cols" localSheetId="19" hidden="1">Axor950605!$H:$N</definedName>
    <definedName name="Z_31C35E15_B94C_48F0_9D3D_ED5C3B09173A_.wvu.Cols" localSheetId="15" hidden="1">'Unimoug 405100'!$H:$K</definedName>
    <definedName name="Z_31C35E15_B94C_48F0_9D3D_ED5C3B09173A_.wvu.Cols" localSheetId="10" hidden="1">'Аtego 970058'!$H:$L</definedName>
    <definedName name="Z_31C35E15_B94C_48F0_9D3D_ED5C3B09173A_.wvu.PrintArea" localSheetId="0" hidden="1">'639'!$A$7:$I$60</definedName>
    <definedName name="Z_31C35E15_B94C_48F0_9D3D_ED5C3B09173A_.wvu.PrintArea" localSheetId="4" hidden="1">'904'!$A$7:$G$49</definedName>
    <definedName name="Z_31C35E15_B94C_48F0_9D3D_ED5C3B09173A_.wvu.PrintArea" localSheetId="5" hidden="1">'906'!$A$7:$H$51</definedName>
    <definedName name="Z_31C35E15_B94C_48F0_9D3D_ED5C3B09173A_.wvu.PrintArea" localSheetId="13" hidden="1">'Actros 930208'!$A$8:$H$56</definedName>
    <definedName name="Z_31C35E15_B94C_48F0_9D3D_ED5C3B09173A_.wvu.PrintArea" localSheetId="12" hidden="1">'Actros 932317(4мост)'!$A$7:$H$57</definedName>
    <definedName name="Z_31C35E15_B94C_48F0_9D3D_ED5C3B09173A_.wvu.PrintArea" localSheetId="14" hidden="1">'Actros 934141'!$A$8:$H$57</definedName>
    <definedName name="Z_31C35E15_B94C_48F0_9D3D_ED5C3B09173A_.wvu.PrintArea" localSheetId="22" hidden="1">Actros930145!$A$8:$H$63</definedName>
    <definedName name="Z_31C35E15_B94C_48F0_9D3D_ED5C3B09173A_.wvu.PrintArea" localSheetId="21" hidden="1">Actros930205!$A$8:$H$58</definedName>
    <definedName name="Z_31C35E15_B94C_48F0_9D3D_ED5C3B09173A_.wvu.PrintArea" localSheetId="23" hidden="1">Actros932163!$A$8:$H$64</definedName>
    <definedName name="Z_31C35E15_B94C_48F0_9D3D_ED5C3B09173A_.wvu.PrintArea" localSheetId="24" hidden="1">Actros932315!$A$8:$J$63</definedName>
    <definedName name="Z_31C35E15_B94C_48F0_9D3D_ED5C3B09173A_.wvu.PrintArea" localSheetId="20" hidden="1">Actros934032new!$A$8:$H$56</definedName>
    <definedName name="Z_31C35E15_B94C_48F0_9D3D_ED5C3B09173A_.wvu.PrintArea" localSheetId="9" hidden="1">'Atego 970057'!$A$8:$H$63</definedName>
    <definedName name="Z_31C35E15_B94C_48F0_9D3D_ED5C3B09173A_.wvu.PrintArea" localSheetId="16" hidden="1">Atego970265!$A$8:$H$68</definedName>
    <definedName name="Z_31C35E15_B94C_48F0_9D3D_ED5C3B09173A_.wvu.PrintArea" localSheetId="17" hidden="1">Atego970277!$A$8:$H$59</definedName>
    <definedName name="Z_31C35E15_B94C_48F0_9D3D_ED5C3B09173A_.wvu.PrintArea" localSheetId="11" hidden="1">'Axor 944032'!$A$8:$H$47</definedName>
    <definedName name="Z_31C35E15_B94C_48F0_9D3D_ED5C3B09173A_.wvu.PrintArea" localSheetId="18" hidden="1">Axor950535!$A$8:$H$55</definedName>
    <definedName name="Z_31C35E15_B94C_48F0_9D3D_ED5C3B09173A_.wvu.PrintArea" localSheetId="19" hidden="1">Axor950605!$A$7:$H$54</definedName>
    <definedName name="Z_31C35E15_B94C_48F0_9D3D_ED5C3B09173A_.wvu.PrintArea" localSheetId="15" hidden="1">'Unimoug 405100'!$A$8:$G$48</definedName>
    <definedName name="Z_31C35E15_B94C_48F0_9D3D_ED5C3B09173A_.wvu.PrintArea" localSheetId="10" hidden="1">'Аtego 970058'!$A$8:$H$58</definedName>
    <definedName name="Z_31C35E15_B94C_48F0_9D3D_ED5C3B09173A_.wvu.Rows" localSheetId="1" hidden="1">'415'!$1:$7,'415'!$12:$12,'415'!$19:$19,'415'!$22:$22,'415'!$26:$27</definedName>
    <definedName name="Z_31C35E15_B94C_48F0_9D3D_ED5C3B09173A_.wvu.Rows" localSheetId="2" hidden="1">'447'!$1:$7</definedName>
    <definedName name="Z_31C35E15_B94C_48F0_9D3D_ED5C3B09173A_.wvu.Rows" localSheetId="3" hidden="1">'447 (перед.привод)'!$1:$7,'447 (перед.привод)'!$12:$12,'447 (перед.привод)'!$37:$37,'447 (перед.привод)'!$42:$44</definedName>
    <definedName name="Z_31C35E15_B94C_48F0_9D3D_ED5C3B09173A_.wvu.Rows" localSheetId="0" hidden="1">'639'!$1:$6</definedName>
    <definedName name="Z_31C35E15_B94C_48F0_9D3D_ED5C3B09173A_.wvu.Rows" localSheetId="4" hidden="1">'904'!$1:$6</definedName>
    <definedName name="Z_31C35E15_B94C_48F0_9D3D_ED5C3B09173A_.wvu.Rows" localSheetId="5" hidden="1">'906'!$1:$6</definedName>
    <definedName name="Z_31C35E15_B94C_48F0_9D3D_ED5C3B09173A_.wvu.Rows" localSheetId="7" hidden="1">'909'!$1:$6,'909'!$12:$12,'909'!$17:$17,'909'!$39:$41</definedName>
    <definedName name="Z_31C35E15_B94C_48F0_9D3D_ED5C3B09173A_.wvu.Rows" localSheetId="13" hidden="1">'Actros 930208'!$1:$7</definedName>
    <definedName name="Z_31C35E15_B94C_48F0_9D3D_ED5C3B09173A_.wvu.Rows" localSheetId="12" hidden="1">'Actros 932317(4мост)'!$1:$6</definedName>
    <definedName name="Z_31C35E15_B94C_48F0_9D3D_ED5C3B09173A_.wvu.Rows" localSheetId="14" hidden="1">'Actros 934141'!$1:$7</definedName>
    <definedName name="Z_31C35E15_B94C_48F0_9D3D_ED5C3B09173A_.wvu.Rows" localSheetId="25" hidden="1">'Actros 9634031'!$1:$7</definedName>
    <definedName name="Z_31C35E15_B94C_48F0_9D3D_ED5C3B09173A_.wvu.Rows" localSheetId="22" hidden="1">Actros930145!$1:$7</definedName>
    <definedName name="Z_31C35E15_B94C_48F0_9D3D_ED5C3B09173A_.wvu.Rows" localSheetId="21" hidden="1">Actros930205!$1:$7</definedName>
    <definedName name="Z_31C35E15_B94C_48F0_9D3D_ED5C3B09173A_.wvu.Rows" localSheetId="23" hidden="1">Actros932163!$1:$7</definedName>
    <definedName name="Z_31C35E15_B94C_48F0_9D3D_ED5C3B09173A_.wvu.Rows" localSheetId="24" hidden="1">Actros932315!$1:$7</definedName>
    <definedName name="Z_31C35E15_B94C_48F0_9D3D_ED5C3B09173A_.wvu.Rows" localSheetId="20" hidden="1">Actros934032new!$1:$7</definedName>
    <definedName name="Z_31C35E15_B94C_48F0_9D3D_ED5C3B09173A_.wvu.Rows" localSheetId="9" hidden="1">'Atego 970057'!$1:$3,'Atego 970057'!$5:$7</definedName>
    <definedName name="Z_31C35E15_B94C_48F0_9D3D_ED5C3B09173A_.wvu.Rows" localSheetId="16" hidden="1">Atego970265!$1:$7</definedName>
    <definedName name="Z_31C35E15_B94C_48F0_9D3D_ED5C3B09173A_.wvu.Rows" localSheetId="17" hidden="1">Atego970277!$1:$7,Atego970277!$11:$11</definedName>
    <definedName name="Z_31C35E15_B94C_48F0_9D3D_ED5C3B09173A_.wvu.Rows" localSheetId="11" hidden="1">'Axor 944032'!$1:$7</definedName>
    <definedName name="Z_31C35E15_B94C_48F0_9D3D_ED5C3B09173A_.wvu.Rows" localSheetId="18" hidden="1">Axor950535!$1:$7</definedName>
    <definedName name="Z_31C35E15_B94C_48F0_9D3D_ED5C3B09173A_.wvu.Rows" localSheetId="19" hidden="1">Axor950605!$1:$6</definedName>
    <definedName name="Z_31C35E15_B94C_48F0_9D3D_ED5C3B09173A_.wvu.Rows" localSheetId="15" hidden="1">'Unimoug 405100'!$1:$7</definedName>
    <definedName name="Z_31C35E15_B94C_48F0_9D3D_ED5C3B09173A_.wvu.Rows" localSheetId="10" hidden="1">'Аtego 970058'!$1:$7,'Аtego 970058'!$11:$11</definedName>
    <definedName name="_xlnm.Print_Area" localSheetId="0">'639'!$A$7:$I$60</definedName>
    <definedName name="_xlnm.Print_Area" localSheetId="4">'904'!$A$7:$G$49</definedName>
    <definedName name="_xlnm.Print_Area" localSheetId="5">'906'!$A$7:$H$51</definedName>
    <definedName name="_xlnm.Print_Area" localSheetId="13">'Actros 930208'!$A$8:$H$56</definedName>
    <definedName name="_xlnm.Print_Area" localSheetId="12">'Actros 932317(4мост)'!$A$7:$H$57</definedName>
    <definedName name="_xlnm.Print_Area" localSheetId="14">'Actros 934141'!$A$8:$H$57</definedName>
    <definedName name="_xlnm.Print_Area" localSheetId="22">Actros930145!$A$8:$H$63</definedName>
    <definedName name="_xlnm.Print_Area" localSheetId="21">Actros930205!$A$8:$H$58</definedName>
    <definedName name="_xlnm.Print_Area" localSheetId="23">Actros932163!$A$8:$H$64</definedName>
    <definedName name="_xlnm.Print_Area" localSheetId="24">Actros932315!$A$8:$J$63</definedName>
    <definedName name="_xlnm.Print_Area" localSheetId="20">Actros934032new!$A$8:$H$56</definedName>
    <definedName name="_xlnm.Print_Area" localSheetId="9">'Atego 970057'!$A$8:$H$63</definedName>
    <definedName name="_xlnm.Print_Area" localSheetId="16">Atego970265!$A$8:$H$68</definedName>
    <definedName name="_xlnm.Print_Area" localSheetId="17">Atego970277!$A$8:$H$59</definedName>
    <definedName name="_xlnm.Print_Area" localSheetId="11">'Axor 944032'!$A$8:$H$47</definedName>
    <definedName name="_xlnm.Print_Area" localSheetId="18">Axor950535!$A$8:$H$55</definedName>
    <definedName name="_xlnm.Print_Area" localSheetId="19">Axor950605!$A$7:$H$54</definedName>
    <definedName name="_xlnm.Print_Area" localSheetId="15">'Unimoug 405100'!$A$8:$G$48</definedName>
    <definedName name="_xlnm.Print_Area" localSheetId="10">'Аtego 970058'!$A$8:$H$58</definedName>
  </definedNames>
  <calcPr calcId="152511" refMode="R1C1"/>
  <customWorkbookViews>
    <customWorkbookView name="(ATL) Інна Миколаївна Силенко - Личное представление" guid="{31C35E15-B94C-48F0-9D3D-ED5C3B09173A}" mergeInterval="0" personalView="1" maximized="1" xWindow="-8" yWindow="-8" windowWidth="1296" windowHeight="1000" tabRatio="867" activeSheetId="1" showComments="commIndAndComment"/>
  </customWorkbookViews>
</workbook>
</file>

<file path=xl/calcChain.xml><?xml version="1.0" encoding="utf-8"?>
<calcChain xmlns="http://schemas.openxmlformats.org/spreadsheetml/2006/main">
  <c r="E23" i="2" l="1"/>
  <c r="F20" i="21" l="1"/>
  <c r="F16" i="21"/>
  <c r="F24" i="3"/>
  <c r="F22" i="5"/>
  <c r="F21" i="6"/>
  <c r="F17" i="7"/>
  <c r="F12" i="9"/>
  <c r="D4" i="9"/>
  <c r="E4" i="9" s="1"/>
  <c r="F3" i="9"/>
  <c r="F8" i="9" s="1"/>
  <c r="F2" i="9"/>
  <c r="F7" i="9" s="1"/>
  <c r="E2" i="9"/>
  <c r="E12" i="9"/>
  <c r="F11" i="9"/>
  <c r="E11" i="9"/>
  <c r="F10" i="9"/>
  <c r="E10" i="9"/>
  <c r="E9" i="9"/>
  <c r="E8" i="9"/>
  <c r="E7" i="9"/>
  <c r="E6" i="9"/>
  <c r="E5" i="9"/>
  <c r="E3" i="9"/>
  <c r="F15" i="7"/>
  <c r="E21" i="7"/>
  <c r="E20" i="7"/>
  <c r="E19" i="7"/>
  <c r="E6" i="7"/>
  <c r="F12" i="7"/>
  <c r="F11" i="7"/>
  <c r="F4" i="7"/>
  <c r="F3" i="7"/>
  <c r="F9" i="7" s="1"/>
  <c r="E12" i="7"/>
  <c r="E11" i="7"/>
  <c r="F20" i="7"/>
  <c r="F19" i="7"/>
  <c r="E17" i="7"/>
  <c r="F16" i="7"/>
  <c r="E16" i="7"/>
  <c r="E15" i="7"/>
  <c r="F14" i="7"/>
  <c r="E14" i="7"/>
  <c r="F13" i="7"/>
  <c r="E13" i="7"/>
  <c r="E10" i="7"/>
  <c r="E9" i="7"/>
  <c r="E8" i="7"/>
  <c r="E7" i="7"/>
  <c r="E5" i="7"/>
  <c r="F10" i="7"/>
  <c r="E4" i="7"/>
  <c r="E3" i="7"/>
  <c r="F12" i="26"/>
  <c r="C33" i="26"/>
  <c r="C34" i="25"/>
  <c r="C25" i="20"/>
  <c r="C25" i="19"/>
  <c r="C36" i="18"/>
  <c r="C39" i="17"/>
  <c r="C36" i="11"/>
  <c r="C39" i="10"/>
  <c r="G11" i="7" l="1"/>
  <c r="G12" i="7"/>
  <c r="G19" i="7"/>
  <c r="G2" i="9"/>
  <c r="G9" i="9"/>
  <c r="G10" i="9"/>
  <c r="G11" i="9"/>
  <c r="G12" i="9"/>
  <c r="G14" i="7"/>
  <c r="G3" i="9"/>
  <c r="G4" i="9"/>
  <c r="G7" i="9"/>
  <c r="G8" i="9"/>
  <c r="F5" i="9"/>
  <c r="G5" i="9" s="1"/>
  <c r="F6" i="9"/>
  <c r="G6" i="9" s="1"/>
  <c r="G15" i="7"/>
  <c r="G13" i="7"/>
  <c r="G20" i="7"/>
  <c r="G3" i="7"/>
  <c r="G4" i="7"/>
  <c r="F7" i="7"/>
  <c r="G7" i="7" s="1"/>
  <c r="G9" i="7"/>
  <c r="G10" i="7"/>
  <c r="F5" i="7"/>
  <c r="F21" i="7"/>
  <c r="G21" i="7" s="1"/>
  <c r="G16" i="7"/>
  <c r="G17" i="7"/>
  <c r="F8" i="7"/>
  <c r="G8" i="7" s="1"/>
  <c r="E10" i="8"/>
  <c r="E10" i="2"/>
  <c r="F22" i="1"/>
  <c r="E10" i="1"/>
  <c r="G5" i="7" l="1"/>
  <c r="F6" i="7"/>
  <c r="G6" i="7" s="1"/>
  <c r="F15" i="26"/>
  <c r="F19" i="8" l="1"/>
  <c r="F24" i="4" l="1"/>
  <c r="F21" i="4"/>
  <c r="F20" i="3"/>
  <c r="F10" i="2"/>
  <c r="F11" i="2"/>
  <c r="F24" i="1"/>
  <c r="E10" i="17" l="1"/>
  <c r="E11" i="26" l="1"/>
  <c r="E32" i="11" l="1"/>
  <c r="D20" i="10"/>
  <c r="F32" i="11"/>
  <c r="F10" i="15" l="1"/>
  <c r="D12" i="18" l="1"/>
  <c r="F20" i="26" l="1"/>
  <c r="E20" i="26"/>
  <c r="F19" i="26"/>
  <c r="G19" i="26" s="1"/>
  <c r="F18" i="26"/>
  <c r="G18" i="26" s="1"/>
  <c r="F17" i="26"/>
  <c r="G17" i="26" s="1"/>
  <c r="F16" i="26"/>
  <c r="G16" i="26" s="1"/>
  <c r="G15" i="26"/>
  <c r="F14" i="26"/>
  <c r="G14" i="26" s="1"/>
  <c r="F13" i="26"/>
  <c r="E13" i="26"/>
  <c r="E12" i="26"/>
  <c r="G11" i="26"/>
  <c r="F10" i="26"/>
  <c r="E10" i="26"/>
  <c r="G20" i="26" l="1"/>
  <c r="G12" i="26"/>
  <c r="G10" i="26"/>
  <c r="G13" i="26"/>
  <c r="E19" i="2"/>
  <c r="G19" i="2" s="1"/>
  <c r="F24" i="2" l="1"/>
  <c r="F23" i="2"/>
  <c r="F21" i="2"/>
  <c r="F14" i="2"/>
  <c r="F13" i="2"/>
  <c r="F20" i="2"/>
  <c r="F18" i="2"/>
  <c r="F15" i="2" l="1"/>
  <c r="F16" i="2"/>
  <c r="E20" i="2"/>
  <c r="F27" i="2" l="1"/>
  <c r="E27" i="2"/>
  <c r="F26" i="2"/>
  <c r="E26" i="2"/>
  <c r="E24" i="2"/>
  <c r="F22" i="2"/>
  <c r="E22" i="2"/>
  <c r="E21" i="2"/>
  <c r="G21" i="2" s="1"/>
  <c r="G20" i="2"/>
  <c r="E18" i="2"/>
  <c r="E16" i="2"/>
  <c r="E15" i="2"/>
  <c r="G15" i="2" s="1"/>
  <c r="E14" i="2"/>
  <c r="E13" i="2"/>
  <c r="G13" i="2" s="1"/>
  <c r="E12" i="2"/>
  <c r="G12" i="2" s="1"/>
  <c r="E11" i="2"/>
  <c r="G11" i="2" s="1"/>
  <c r="G10" i="2"/>
  <c r="G23" i="2" l="1"/>
  <c r="G24" i="2"/>
  <c r="G26" i="2"/>
  <c r="G27" i="2"/>
  <c r="G22" i="2"/>
  <c r="G18" i="2"/>
  <c r="G14" i="2"/>
  <c r="G16" i="2"/>
  <c r="F22" i="4"/>
  <c r="F27" i="4" l="1"/>
  <c r="E27" i="4"/>
  <c r="F26" i="4"/>
  <c r="E26" i="4"/>
  <c r="E24" i="4"/>
  <c r="G24" i="4" s="1"/>
  <c r="F23" i="4"/>
  <c r="E23" i="4"/>
  <c r="E22" i="4"/>
  <c r="G22" i="4" s="1"/>
  <c r="E21" i="4"/>
  <c r="G21" i="4" s="1"/>
  <c r="G20" i="4"/>
  <c r="E19" i="4"/>
  <c r="E18" i="4"/>
  <c r="E16" i="4"/>
  <c r="F15" i="4"/>
  <c r="E15" i="4"/>
  <c r="E14" i="4"/>
  <c r="F13" i="4"/>
  <c r="E13" i="4"/>
  <c r="E12" i="4"/>
  <c r="F11" i="4"/>
  <c r="E11" i="4"/>
  <c r="F10" i="4"/>
  <c r="E10" i="4"/>
  <c r="G23" i="4" l="1"/>
  <c r="G13" i="4"/>
  <c r="G26" i="4"/>
  <c r="G27" i="4"/>
  <c r="F16" i="4"/>
  <c r="G16" i="4" s="1"/>
  <c r="F19" i="4"/>
  <c r="G19" i="4" s="1"/>
  <c r="G10" i="4"/>
  <c r="G11" i="4"/>
  <c r="G15" i="4"/>
  <c r="F18" i="4"/>
  <c r="G18" i="4" s="1"/>
  <c r="F14" i="4"/>
  <c r="G14" i="4" s="1"/>
  <c r="F25" i="14"/>
  <c r="G12" i="4" l="1"/>
  <c r="F28" i="25"/>
  <c r="F27" i="25"/>
  <c r="F25" i="25"/>
  <c r="F18" i="25"/>
  <c r="F29" i="24"/>
  <c r="F26" i="24"/>
  <c r="F10" i="20"/>
  <c r="F10" i="21"/>
  <c r="F10" i="22"/>
  <c r="F10" i="23"/>
  <c r="F10" i="24"/>
  <c r="F27" i="23" l="1"/>
  <c r="F24" i="23"/>
  <c r="F18" i="23"/>
  <c r="F27" i="22"/>
  <c r="F24" i="22"/>
  <c r="F18" i="22"/>
  <c r="F26" i="21"/>
  <c r="F23" i="21"/>
  <c r="F18" i="21"/>
  <c r="F20" i="20"/>
  <c r="F18" i="20"/>
  <c r="F20" i="19"/>
  <c r="F18" i="19"/>
  <c r="F19" i="19"/>
  <c r="F13" i="19"/>
  <c r="F32" i="18"/>
  <c r="F30" i="17"/>
  <c r="F32" i="17"/>
  <c r="F31" i="17"/>
  <c r="F19" i="16"/>
  <c r="F15" i="16"/>
  <c r="F13" i="16"/>
  <c r="F14" i="15"/>
  <c r="F12" i="15"/>
  <c r="F11" i="15"/>
  <c r="F17" i="14"/>
  <c r="F25" i="13"/>
  <c r="F17" i="13"/>
  <c r="F20" i="12"/>
  <c r="F15" i="13"/>
  <c r="F14" i="13"/>
  <c r="F11" i="13"/>
  <c r="F10" i="13"/>
  <c r="F16" i="11" l="1"/>
  <c r="F12" i="11"/>
  <c r="F28" i="11" s="1"/>
  <c r="F10" i="11"/>
  <c r="F14" i="11" s="1"/>
  <c r="F25" i="10"/>
  <c r="F24" i="10"/>
  <c r="F17" i="10"/>
  <c r="F16" i="10"/>
  <c r="F24" i="8" l="1"/>
  <c r="F23" i="8"/>
  <c r="F21" i="8"/>
  <c r="F18" i="8"/>
  <c r="F11" i="8" l="1"/>
  <c r="F10" i="8"/>
  <c r="F24" i="6"/>
  <c r="F23" i="6"/>
  <c r="F20" i="5" l="1"/>
  <c r="F19" i="5"/>
  <c r="F11" i="5"/>
  <c r="F26" i="3" l="1"/>
  <c r="F27" i="3"/>
  <c r="F11" i="3"/>
  <c r="F10" i="3"/>
  <c r="F27" i="1"/>
  <c r="F26" i="1"/>
  <c r="F15" i="1"/>
  <c r="F13" i="1"/>
  <c r="F15" i="3" l="1"/>
  <c r="F13" i="3"/>
  <c r="E27" i="3" l="1"/>
  <c r="E26" i="3"/>
  <c r="E24" i="3"/>
  <c r="F23" i="3"/>
  <c r="E23" i="3"/>
  <c r="F22" i="3"/>
  <c r="E22" i="3"/>
  <c r="F21" i="3"/>
  <c r="E21" i="3"/>
  <c r="F12" i="3"/>
  <c r="F19" i="3" s="1"/>
  <c r="E20" i="3"/>
  <c r="E19" i="3"/>
  <c r="E18" i="3"/>
  <c r="E16" i="3"/>
  <c r="E15" i="3"/>
  <c r="E14" i="3"/>
  <c r="E13" i="3"/>
  <c r="E12" i="3"/>
  <c r="F18" i="3"/>
  <c r="E11" i="3"/>
  <c r="E10" i="3"/>
  <c r="G21" i="3" l="1"/>
  <c r="G26" i="3"/>
  <c r="G13" i="3"/>
  <c r="G20" i="3"/>
  <c r="G24" i="3"/>
  <c r="G27" i="3"/>
  <c r="G10" i="3"/>
  <c r="G11" i="3"/>
  <c r="G12" i="3"/>
  <c r="G15" i="3"/>
  <c r="G22" i="3"/>
  <c r="F14" i="3"/>
  <c r="G14" i="3" s="1"/>
  <c r="F16" i="3"/>
  <c r="G16" i="3" s="1"/>
  <c r="G23" i="3"/>
  <c r="G19" i="3"/>
  <c r="G18" i="3"/>
  <c r="E24" i="8"/>
  <c r="E23" i="8"/>
  <c r="E21" i="8"/>
  <c r="F20" i="8"/>
  <c r="E20" i="8"/>
  <c r="E19" i="8"/>
  <c r="E18" i="8"/>
  <c r="E17" i="8"/>
  <c r="G17" i="8" s="1"/>
  <c r="E16" i="8"/>
  <c r="E15" i="8"/>
  <c r="E14" i="8"/>
  <c r="E13" i="8"/>
  <c r="E12" i="8"/>
  <c r="G12" i="8" s="1"/>
  <c r="F16" i="8"/>
  <c r="E11" i="8"/>
  <c r="F15" i="8"/>
  <c r="G20" i="8" l="1"/>
  <c r="G21" i="8"/>
  <c r="G10" i="8"/>
  <c r="G11" i="8"/>
  <c r="G24" i="8"/>
  <c r="G19" i="8"/>
  <c r="G18" i="8"/>
  <c r="G15" i="8"/>
  <c r="G23" i="8"/>
  <c r="G16" i="8"/>
  <c r="F14" i="8"/>
  <c r="G14" i="8" s="1"/>
  <c r="F13" i="8"/>
  <c r="G13" i="8" s="1"/>
  <c r="D28" i="25"/>
  <c r="E28" i="25" s="1"/>
  <c r="D27" i="25"/>
  <c r="E27" i="25" s="1"/>
  <c r="F26" i="25"/>
  <c r="D26" i="25"/>
  <c r="E26" i="25" s="1"/>
  <c r="D25" i="25"/>
  <c r="E25" i="25" s="1"/>
  <c r="F24" i="25"/>
  <c r="D24" i="25"/>
  <c r="E24" i="25" s="1"/>
  <c r="F23" i="25"/>
  <c r="D23" i="25"/>
  <c r="E23" i="25" s="1"/>
  <c r="F22" i="25"/>
  <c r="D22" i="25"/>
  <c r="E22" i="25" s="1"/>
  <c r="F21" i="25"/>
  <c r="D21" i="25"/>
  <c r="E21" i="25" s="1"/>
  <c r="F20" i="25"/>
  <c r="D20" i="25"/>
  <c r="E20" i="25" s="1"/>
  <c r="F19" i="25"/>
  <c r="D19" i="25"/>
  <c r="E19" i="25" s="1"/>
  <c r="G18" i="25"/>
  <c r="D18" i="25"/>
  <c r="E18" i="25" s="1"/>
  <c r="F17" i="25"/>
  <c r="D17" i="25"/>
  <c r="E17" i="25" s="1"/>
  <c r="F16" i="25"/>
  <c r="D16" i="25"/>
  <c r="E16" i="25" s="1"/>
  <c r="F15" i="25"/>
  <c r="D15" i="25"/>
  <c r="E15" i="25" s="1"/>
  <c r="F14" i="25"/>
  <c r="D14" i="25"/>
  <c r="E14" i="25" s="1"/>
  <c r="F13" i="25"/>
  <c r="D13" i="25"/>
  <c r="E13" i="25" s="1"/>
  <c r="F12" i="25"/>
  <c r="D12" i="25"/>
  <c r="E12" i="25" s="1"/>
  <c r="F11" i="25"/>
  <c r="D11" i="25"/>
  <c r="E11" i="25" s="1"/>
  <c r="F10" i="25"/>
  <c r="D10" i="25"/>
  <c r="E10" i="25" s="1"/>
  <c r="D29" i="24"/>
  <c r="E29" i="24" s="1"/>
  <c r="F28" i="24"/>
  <c r="D28" i="24"/>
  <c r="E28" i="24" s="1"/>
  <c r="F27" i="24"/>
  <c r="D27" i="24"/>
  <c r="E27" i="24" s="1"/>
  <c r="D26" i="24"/>
  <c r="E26" i="24" s="1"/>
  <c r="F25" i="24"/>
  <c r="D25" i="24"/>
  <c r="E25" i="24" s="1"/>
  <c r="F24" i="24"/>
  <c r="D24" i="24"/>
  <c r="E24" i="24" s="1"/>
  <c r="F23" i="24"/>
  <c r="D23" i="24"/>
  <c r="E23" i="24" s="1"/>
  <c r="F22" i="24"/>
  <c r="D22" i="24"/>
  <c r="E22" i="24" s="1"/>
  <c r="F21" i="24"/>
  <c r="D21" i="24"/>
  <c r="E21" i="24" s="1"/>
  <c r="F20" i="24"/>
  <c r="G20" i="24" s="1"/>
  <c r="D20" i="24"/>
  <c r="E20" i="24" s="1"/>
  <c r="F19" i="24"/>
  <c r="D19" i="24"/>
  <c r="E19" i="24" s="1"/>
  <c r="F18" i="24"/>
  <c r="D18" i="24"/>
  <c r="E18" i="24" s="1"/>
  <c r="F17" i="24"/>
  <c r="D17" i="24"/>
  <c r="E17" i="24" s="1"/>
  <c r="F16" i="24"/>
  <c r="D16" i="24"/>
  <c r="E16" i="24" s="1"/>
  <c r="F15" i="24"/>
  <c r="D15" i="24"/>
  <c r="E15" i="24" s="1"/>
  <c r="F14" i="24"/>
  <c r="D14" i="24"/>
  <c r="E14" i="24" s="1"/>
  <c r="F13" i="24"/>
  <c r="D13" i="24"/>
  <c r="E13" i="24" s="1"/>
  <c r="F12" i="24"/>
  <c r="D12" i="24"/>
  <c r="E12" i="24" s="1"/>
  <c r="F11" i="24"/>
  <c r="D11" i="24"/>
  <c r="E11" i="24" s="1"/>
  <c r="D10" i="24"/>
  <c r="E10" i="24" s="1"/>
  <c r="D27" i="23"/>
  <c r="E27" i="23" s="1"/>
  <c r="F26" i="23"/>
  <c r="D26" i="23"/>
  <c r="E26" i="23" s="1"/>
  <c r="F25" i="23"/>
  <c r="D25" i="23"/>
  <c r="E25" i="23" s="1"/>
  <c r="D24" i="23"/>
  <c r="E24" i="23" s="1"/>
  <c r="F23" i="23"/>
  <c r="D23" i="23"/>
  <c r="E23" i="23" s="1"/>
  <c r="F22" i="23"/>
  <c r="D22" i="23"/>
  <c r="E22" i="23" s="1"/>
  <c r="F21" i="23"/>
  <c r="D21" i="23"/>
  <c r="E21" i="23" s="1"/>
  <c r="F20" i="23"/>
  <c r="D20" i="23"/>
  <c r="E20" i="23" s="1"/>
  <c r="F19" i="23"/>
  <c r="D19" i="23"/>
  <c r="E19" i="23" s="1"/>
  <c r="G18" i="23"/>
  <c r="D18" i="23"/>
  <c r="E18" i="23" s="1"/>
  <c r="F17" i="23"/>
  <c r="D17" i="23"/>
  <c r="E17" i="23" s="1"/>
  <c r="F16" i="23"/>
  <c r="D16" i="23"/>
  <c r="E16" i="23" s="1"/>
  <c r="F15" i="23"/>
  <c r="D15" i="23"/>
  <c r="E15" i="23" s="1"/>
  <c r="F14" i="23"/>
  <c r="D14" i="23"/>
  <c r="E14" i="23" s="1"/>
  <c r="F13" i="23"/>
  <c r="D13" i="23"/>
  <c r="E13" i="23" s="1"/>
  <c r="F12" i="23"/>
  <c r="D12" i="23"/>
  <c r="E12" i="23" s="1"/>
  <c r="F11" i="23"/>
  <c r="D11" i="23"/>
  <c r="E11" i="23" s="1"/>
  <c r="D10" i="23"/>
  <c r="E10" i="23" s="1"/>
  <c r="D27" i="22"/>
  <c r="E27" i="22" s="1"/>
  <c r="F26" i="22"/>
  <c r="D26" i="22"/>
  <c r="E26" i="22" s="1"/>
  <c r="F25" i="22"/>
  <c r="D25" i="22"/>
  <c r="E25" i="22" s="1"/>
  <c r="D24" i="22"/>
  <c r="E24" i="22" s="1"/>
  <c r="F23" i="22"/>
  <c r="D23" i="22"/>
  <c r="E23" i="22" s="1"/>
  <c r="F22" i="22"/>
  <c r="D22" i="22"/>
  <c r="E22" i="22" s="1"/>
  <c r="F21" i="22"/>
  <c r="D21" i="22"/>
  <c r="E21" i="22" s="1"/>
  <c r="F20" i="22"/>
  <c r="D20" i="22"/>
  <c r="E20" i="22" s="1"/>
  <c r="F19" i="22"/>
  <c r="D19" i="22"/>
  <c r="E19" i="22" s="1"/>
  <c r="G18" i="22"/>
  <c r="D18" i="22"/>
  <c r="E18" i="22" s="1"/>
  <c r="F17" i="22"/>
  <c r="D17" i="22"/>
  <c r="E17" i="22" s="1"/>
  <c r="F16" i="22"/>
  <c r="D16" i="22"/>
  <c r="E16" i="22" s="1"/>
  <c r="F15" i="22"/>
  <c r="D15" i="22"/>
  <c r="E15" i="22" s="1"/>
  <c r="F14" i="22"/>
  <c r="D14" i="22"/>
  <c r="E14" i="22" s="1"/>
  <c r="F13" i="22"/>
  <c r="D13" i="22"/>
  <c r="E13" i="22" s="1"/>
  <c r="F12" i="22"/>
  <c r="D12" i="22"/>
  <c r="E12" i="22" s="1"/>
  <c r="F11" i="22"/>
  <c r="D11" i="22"/>
  <c r="E11" i="22" s="1"/>
  <c r="D10" i="22"/>
  <c r="E10" i="22" s="1"/>
  <c r="D26" i="21"/>
  <c r="E26" i="21" s="1"/>
  <c r="F25" i="21"/>
  <c r="E25" i="21"/>
  <c r="F24" i="21"/>
  <c r="D24" i="21"/>
  <c r="E24" i="21" s="1"/>
  <c r="D23" i="21"/>
  <c r="E23" i="21" s="1"/>
  <c r="F22" i="21"/>
  <c r="D22" i="21"/>
  <c r="E22" i="21" s="1"/>
  <c r="F21" i="21"/>
  <c r="D21" i="21"/>
  <c r="E21" i="21" s="1"/>
  <c r="D20" i="21"/>
  <c r="E20" i="21" s="1"/>
  <c r="G20" i="21" s="1"/>
  <c r="F19" i="21"/>
  <c r="D19" i="21"/>
  <c r="E19" i="21" s="1"/>
  <c r="G18" i="21"/>
  <c r="D18" i="21"/>
  <c r="E18" i="21" s="1"/>
  <c r="F17" i="21"/>
  <c r="D17" i="21"/>
  <c r="E17" i="21" s="1"/>
  <c r="D16" i="21"/>
  <c r="E16" i="21" s="1"/>
  <c r="F15" i="21"/>
  <c r="D15" i="21"/>
  <c r="E15" i="21" s="1"/>
  <c r="F14" i="21"/>
  <c r="D14" i="21"/>
  <c r="E14" i="21" s="1"/>
  <c r="F13" i="21"/>
  <c r="D13" i="21"/>
  <c r="E13" i="21" s="1"/>
  <c r="F12" i="21"/>
  <c r="E12" i="21"/>
  <c r="F11" i="21"/>
  <c r="D11" i="21"/>
  <c r="E11" i="21" s="1"/>
  <c r="D10" i="21"/>
  <c r="E10" i="21" s="1"/>
  <c r="D20" i="20"/>
  <c r="E20" i="20" s="1"/>
  <c r="F19" i="20"/>
  <c r="D19" i="20"/>
  <c r="E19" i="20" s="1"/>
  <c r="D18" i="20"/>
  <c r="E18" i="20" s="1"/>
  <c r="D17" i="20"/>
  <c r="E17" i="20" s="1"/>
  <c r="D16" i="20"/>
  <c r="E16" i="20" s="1"/>
  <c r="D15" i="20"/>
  <c r="E15" i="20" s="1"/>
  <c r="D14" i="20"/>
  <c r="E14" i="20" s="1"/>
  <c r="F13" i="20"/>
  <c r="F17" i="20" s="1"/>
  <c r="D13" i="20"/>
  <c r="E13" i="20" s="1"/>
  <c r="D12" i="20"/>
  <c r="E12" i="20" s="1"/>
  <c r="F11" i="20"/>
  <c r="F15" i="20" s="1"/>
  <c r="D11" i="20"/>
  <c r="E11" i="20" s="1"/>
  <c r="F16" i="20"/>
  <c r="D10" i="20"/>
  <c r="E10" i="20" s="1"/>
  <c r="D20" i="19"/>
  <c r="E20" i="19" s="1"/>
  <c r="D19" i="19"/>
  <c r="E19" i="19" s="1"/>
  <c r="D18" i="19"/>
  <c r="E18" i="19" s="1"/>
  <c r="D17" i="19"/>
  <c r="E17" i="19" s="1"/>
  <c r="D16" i="19"/>
  <c r="E16" i="19" s="1"/>
  <c r="D15" i="19"/>
  <c r="E15" i="19" s="1"/>
  <c r="D14" i="19"/>
  <c r="E14" i="19" s="1"/>
  <c r="F17" i="19"/>
  <c r="D13" i="19"/>
  <c r="E13" i="19" s="1"/>
  <c r="D12" i="19"/>
  <c r="E12" i="19" s="1"/>
  <c r="F11" i="19"/>
  <c r="F15" i="19" s="1"/>
  <c r="D11" i="19"/>
  <c r="E11" i="19" s="1"/>
  <c r="F10" i="19"/>
  <c r="F16" i="19" s="1"/>
  <c r="D10" i="19"/>
  <c r="E10" i="19" s="1"/>
  <c r="D32" i="18"/>
  <c r="E32" i="18" s="1"/>
  <c r="F31" i="18"/>
  <c r="D31" i="18"/>
  <c r="E31" i="18" s="1"/>
  <c r="F30" i="18"/>
  <c r="D30" i="18"/>
  <c r="E30" i="18" s="1"/>
  <c r="D29" i="18"/>
  <c r="E29" i="18" s="1"/>
  <c r="D28" i="18"/>
  <c r="E28" i="18" s="1"/>
  <c r="E27" i="18"/>
  <c r="E26" i="18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E20" i="18" s="1"/>
  <c r="D19" i="18"/>
  <c r="D18" i="18"/>
  <c r="E18" i="18" s="1"/>
  <c r="F17" i="18"/>
  <c r="F25" i="18" s="1"/>
  <c r="D17" i="18"/>
  <c r="E17" i="18" s="1"/>
  <c r="F16" i="18"/>
  <c r="F24" i="18" s="1"/>
  <c r="D16" i="18"/>
  <c r="E16" i="18" s="1"/>
  <c r="F15" i="18"/>
  <c r="F27" i="18" s="1"/>
  <c r="D15" i="18"/>
  <c r="E15" i="18" s="1"/>
  <c r="D14" i="18"/>
  <c r="E14" i="18" s="1"/>
  <c r="F13" i="18"/>
  <c r="F29" i="18" s="1"/>
  <c r="D13" i="18"/>
  <c r="E13" i="18" s="1"/>
  <c r="F12" i="18"/>
  <c r="F28" i="18" s="1"/>
  <c r="E12" i="18"/>
  <c r="G11" i="18"/>
  <c r="E11" i="18"/>
  <c r="F10" i="18"/>
  <c r="F14" i="18" s="1"/>
  <c r="D10" i="18"/>
  <c r="E10" i="18" s="1"/>
  <c r="D32" i="17"/>
  <c r="E32" i="17" s="1"/>
  <c r="D31" i="17"/>
  <c r="E31" i="17" s="1"/>
  <c r="D30" i="17"/>
  <c r="E30" i="17" s="1"/>
  <c r="F29" i="17"/>
  <c r="E29" i="17"/>
  <c r="F28" i="17"/>
  <c r="D28" i="17"/>
  <c r="E28" i="17" s="1"/>
  <c r="F27" i="17"/>
  <c r="D27" i="17"/>
  <c r="E27" i="17" s="1"/>
  <c r="F26" i="17"/>
  <c r="D26" i="17"/>
  <c r="E26" i="17" s="1"/>
  <c r="F25" i="17"/>
  <c r="E25" i="17"/>
  <c r="F24" i="17"/>
  <c r="D24" i="17"/>
  <c r="E24" i="17" s="1"/>
  <c r="F23" i="17"/>
  <c r="D23" i="17"/>
  <c r="E23" i="17" s="1"/>
  <c r="F22" i="17"/>
  <c r="D22" i="17"/>
  <c r="E22" i="17" s="1"/>
  <c r="F21" i="17"/>
  <c r="E21" i="17"/>
  <c r="F20" i="17"/>
  <c r="D20" i="17"/>
  <c r="E20" i="17" s="1"/>
  <c r="F19" i="17"/>
  <c r="D19" i="17"/>
  <c r="E19" i="17" s="1"/>
  <c r="F18" i="17"/>
  <c r="D18" i="17"/>
  <c r="E18" i="17" s="1"/>
  <c r="F17" i="17"/>
  <c r="E17" i="17"/>
  <c r="F16" i="17"/>
  <c r="D16" i="17"/>
  <c r="E16" i="17" s="1"/>
  <c r="F15" i="17"/>
  <c r="D15" i="17"/>
  <c r="E15" i="17" s="1"/>
  <c r="F14" i="17"/>
  <c r="D14" i="17"/>
  <c r="E14" i="17" s="1"/>
  <c r="F13" i="17"/>
  <c r="E13" i="17"/>
  <c r="F12" i="17"/>
  <c r="D12" i="17"/>
  <c r="E12" i="17" s="1"/>
  <c r="F11" i="17"/>
  <c r="D11" i="17"/>
  <c r="E11" i="17" s="1"/>
  <c r="F10" i="17"/>
  <c r="D10" i="17"/>
  <c r="G15" i="21" l="1"/>
  <c r="G17" i="21"/>
  <c r="G15" i="22"/>
  <c r="G17" i="22"/>
  <c r="G17" i="23"/>
  <c r="G20" i="23"/>
  <c r="G21" i="23"/>
  <c r="G22" i="23"/>
  <c r="G15" i="24"/>
  <c r="G19" i="24"/>
  <c r="G21" i="24"/>
  <c r="G16" i="25"/>
  <c r="G17" i="25"/>
  <c r="G20" i="25"/>
  <c r="G19" i="23"/>
  <c r="G19" i="21"/>
  <c r="G22" i="25"/>
  <c r="G23" i="25"/>
  <c r="G16" i="21"/>
  <c r="G19" i="25"/>
  <c r="G22" i="24"/>
  <c r="G16" i="23"/>
  <c r="G15" i="23"/>
  <c r="G19" i="22"/>
  <c r="G20" i="22"/>
  <c r="G23" i="21"/>
  <c r="G24" i="21"/>
  <c r="G11" i="21"/>
  <c r="G32" i="18"/>
  <c r="G25" i="25"/>
  <c r="G26" i="25"/>
  <c r="G10" i="25"/>
  <c r="G11" i="25"/>
  <c r="G28" i="24"/>
  <c r="G26" i="24"/>
  <c r="G27" i="24"/>
  <c r="G10" i="24"/>
  <c r="G11" i="24"/>
  <c r="G24" i="23"/>
  <c r="G25" i="23"/>
  <c r="G27" i="23"/>
  <c r="G11" i="23"/>
  <c r="G24" i="22"/>
  <c r="G25" i="22"/>
  <c r="G27" i="22"/>
  <c r="G15" i="18"/>
  <c r="G17" i="18"/>
  <c r="G28" i="25"/>
  <c r="G15" i="25"/>
  <c r="G27" i="25"/>
  <c r="G13" i="25"/>
  <c r="G14" i="25"/>
  <c r="G29" i="24"/>
  <c r="G16" i="24"/>
  <c r="G23" i="24"/>
  <c r="G24" i="24"/>
  <c r="G13" i="24"/>
  <c r="G14" i="24"/>
  <c r="G10" i="23"/>
  <c r="G13" i="23"/>
  <c r="G14" i="23"/>
  <c r="G11" i="22"/>
  <c r="G16" i="22"/>
  <c r="G10" i="22"/>
  <c r="G26" i="22"/>
  <c r="G21" i="22"/>
  <c r="G22" i="22"/>
  <c r="G13" i="22"/>
  <c r="G14" i="22"/>
  <c r="G10" i="21"/>
  <c r="G25" i="21"/>
  <c r="G21" i="21"/>
  <c r="G22" i="21"/>
  <c r="G13" i="21"/>
  <c r="G14" i="21"/>
  <c r="G26" i="21"/>
  <c r="G18" i="20"/>
  <c r="G19" i="20"/>
  <c r="G20" i="20"/>
  <c r="G13" i="20"/>
  <c r="G11" i="19"/>
  <c r="G16" i="18"/>
  <c r="G30" i="18"/>
  <c r="G31" i="18"/>
  <c r="G26" i="23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10" i="18"/>
  <c r="G12" i="18"/>
  <c r="G13" i="18"/>
  <c r="G13" i="19"/>
  <c r="G18" i="19"/>
  <c r="G19" i="19"/>
  <c r="G20" i="19"/>
  <c r="G11" i="20"/>
  <c r="G12" i="21"/>
  <c r="G12" i="25"/>
  <c r="G21" i="25"/>
  <c r="G24" i="25"/>
  <c r="G12" i="24"/>
  <c r="G17" i="24"/>
  <c r="G18" i="24"/>
  <c r="G25" i="24"/>
  <c r="G12" i="23"/>
  <c r="G23" i="23"/>
  <c r="G12" i="22"/>
  <c r="G23" i="22"/>
  <c r="G15" i="20"/>
  <c r="G16" i="20"/>
  <c r="G17" i="20"/>
  <c r="G10" i="20"/>
  <c r="F12" i="20"/>
  <c r="G12" i="20" s="1"/>
  <c r="F14" i="20"/>
  <c r="G14" i="20" s="1"/>
  <c r="G15" i="19"/>
  <c r="G16" i="19"/>
  <c r="G17" i="19"/>
  <c r="G10" i="19"/>
  <c r="F12" i="19"/>
  <c r="G12" i="19" s="1"/>
  <c r="F14" i="19"/>
  <c r="G14" i="19" s="1"/>
  <c r="F26" i="18"/>
  <c r="G26" i="18" s="1"/>
  <c r="F22" i="18"/>
  <c r="G22" i="18" s="1"/>
  <c r="F18" i="18"/>
  <c r="G18" i="18" s="1"/>
  <c r="E19" i="18"/>
  <c r="G14" i="18"/>
  <c r="G24" i="18"/>
  <c r="G25" i="18"/>
  <c r="G27" i="18"/>
  <c r="G28" i="18"/>
  <c r="G29" i="18"/>
  <c r="F19" i="18"/>
  <c r="F20" i="18"/>
  <c r="G20" i="18" s="1"/>
  <c r="F21" i="18"/>
  <c r="G21" i="18" s="1"/>
  <c r="F23" i="18"/>
  <c r="G23" i="18" s="1"/>
  <c r="F12" i="16"/>
  <c r="F16" i="16" s="1"/>
  <c r="F11" i="16"/>
  <c r="F10" i="16"/>
  <c r="F21" i="15"/>
  <c r="F20" i="15"/>
  <c r="F17" i="15"/>
  <c r="F15" i="15"/>
  <c r="F18" i="15"/>
  <c r="F13" i="15"/>
  <c r="F16" i="15"/>
  <c r="F19" i="15" s="1"/>
  <c r="E21" i="15"/>
  <c r="E20" i="15"/>
  <c r="E19" i="15"/>
  <c r="E18" i="15"/>
  <c r="E17" i="15"/>
  <c r="E16" i="15"/>
  <c r="E15" i="15"/>
  <c r="E14" i="15"/>
  <c r="E12" i="15"/>
  <c r="E13" i="15"/>
  <c r="E11" i="15"/>
  <c r="E10" i="15"/>
  <c r="G10" i="15" s="1"/>
  <c r="F15" i="14"/>
  <c r="F19" i="13"/>
  <c r="E19" i="16"/>
  <c r="G19" i="16" s="1"/>
  <c r="E18" i="16"/>
  <c r="E17" i="16"/>
  <c r="E16" i="16"/>
  <c r="E15" i="16"/>
  <c r="E14" i="16"/>
  <c r="E13" i="16"/>
  <c r="E12" i="16"/>
  <c r="E11" i="16"/>
  <c r="E10" i="16"/>
  <c r="F18" i="16"/>
  <c r="F17" i="16"/>
  <c r="G20" i="15" l="1"/>
  <c r="G13" i="15"/>
  <c r="G21" i="15"/>
  <c r="G17" i="15"/>
  <c r="G19" i="18"/>
  <c r="G15" i="15"/>
  <c r="G14" i="15"/>
  <c r="F14" i="16"/>
  <c r="G14" i="16" s="1"/>
  <c r="G11" i="15"/>
  <c r="G12" i="15"/>
  <c r="G19" i="15"/>
  <c r="G18" i="15"/>
  <c r="G16" i="15"/>
  <c r="G10" i="16"/>
  <c r="G11" i="16"/>
  <c r="G12" i="16"/>
  <c r="G13" i="16"/>
  <c r="G15" i="16"/>
  <c r="G16" i="16"/>
  <c r="G17" i="16"/>
  <c r="G18" i="16"/>
  <c r="E10" i="6"/>
  <c r="F10" i="6"/>
  <c r="E11" i="6"/>
  <c r="F11" i="6"/>
  <c r="E12" i="6"/>
  <c r="E13" i="6"/>
  <c r="E14" i="6"/>
  <c r="E15" i="6"/>
  <c r="E16" i="6"/>
  <c r="E10" i="5"/>
  <c r="F10" i="5"/>
  <c r="F13" i="5" s="1"/>
  <c r="E11" i="5"/>
  <c r="E12" i="5"/>
  <c r="F12" i="5"/>
  <c r="E13" i="5"/>
  <c r="E14" i="5"/>
  <c r="E15" i="5"/>
  <c r="E16" i="5"/>
  <c r="F16" i="5" l="1"/>
  <c r="G16" i="5" s="1"/>
  <c r="G11" i="6"/>
  <c r="G10" i="6"/>
  <c r="G13" i="5"/>
  <c r="G12" i="5"/>
  <c r="G11" i="5"/>
  <c r="G10" i="5"/>
  <c r="F16" i="6"/>
  <c r="G16" i="6" s="1"/>
  <c r="F14" i="6"/>
  <c r="G14" i="6" s="1"/>
  <c r="F15" i="5"/>
  <c r="G15" i="5" s="1"/>
  <c r="F14" i="5"/>
  <c r="G14" i="5" s="1"/>
  <c r="F15" i="6"/>
  <c r="G15" i="6" s="1"/>
  <c r="F13" i="6"/>
  <c r="G13" i="6" s="1"/>
  <c r="E19" i="5" l="1"/>
  <c r="F21" i="1" l="1"/>
  <c r="F20" i="1"/>
  <c r="F11" i="1"/>
  <c r="F12" i="1"/>
  <c r="F10" i="1"/>
  <c r="E24" i="1" l="1"/>
  <c r="E27" i="1"/>
  <c r="E26" i="1"/>
  <c r="E32" i="10" l="1"/>
  <c r="E31" i="10"/>
  <c r="E30" i="10"/>
  <c r="E29" i="10"/>
  <c r="E25" i="10"/>
  <c r="E21" i="10"/>
  <c r="E17" i="10"/>
  <c r="E13" i="10"/>
  <c r="E24" i="6" l="1"/>
  <c r="E25" i="6"/>
  <c r="E23" i="6"/>
  <c r="G24" i="6" l="1"/>
  <c r="G23" i="6"/>
  <c r="E21" i="6"/>
  <c r="F20" i="6"/>
  <c r="E20" i="6"/>
  <c r="F19" i="6"/>
  <c r="E19" i="6"/>
  <c r="F18" i="6"/>
  <c r="E18" i="6"/>
  <c r="F17" i="6"/>
  <c r="F12" i="6" s="1"/>
  <c r="E17" i="6"/>
  <c r="E22" i="5"/>
  <c r="F21" i="5"/>
  <c r="E21" i="5"/>
  <c r="E20" i="5"/>
  <c r="E18" i="5"/>
  <c r="E17" i="5"/>
  <c r="F18" i="5"/>
  <c r="F17" i="5"/>
  <c r="G27" i="1"/>
  <c r="G26" i="1"/>
  <c r="F23" i="1"/>
  <c r="E23" i="1"/>
  <c r="E22" i="1"/>
  <c r="E21" i="1"/>
  <c r="E20" i="1"/>
  <c r="E19" i="1"/>
  <c r="E18" i="1"/>
  <c r="E16" i="1"/>
  <c r="E15" i="1"/>
  <c r="E14" i="1"/>
  <c r="E13" i="1"/>
  <c r="E12" i="1"/>
  <c r="G12" i="1" s="1"/>
  <c r="F18" i="1"/>
  <c r="E11" i="1"/>
  <c r="G11" i="1" s="1"/>
  <c r="G10" i="1"/>
  <c r="D14" i="10"/>
  <c r="E14" i="10" s="1"/>
  <c r="F24" i="14"/>
  <c r="F23" i="14"/>
  <c r="F22" i="14"/>
  <c r="F21" i="14"/>
  <c r="F20" i="14"/>
  <c r="F19" i="14"/>
  <c r="F18" i="14"/>
  <c r="G17" i="14"/>
  <c r="F16" i="14"/>
  <c r="F14" i="14"/>
  <c r="F13" i="14"/>
  <c r="F12" i="14"/>
  <c r="F11" i="14"/>
  <c r="F10" i="14"/>
  <c r="E25" i="14"/>
  <c r="E24" i="14"/>
  <c r="E23" i="14"/>
  <c r="E22" i="14"/>
  <c r="E21" i="14"/>
  <c r="E20" i="14"/>
  <c r="E19" i="14"/>
  <c r="E16" i="14"/>
  <c r="E15" i="14"/>
  <c r="G15" i="14" s="1"/>
  <c r="E14" i="14"/>
  <c r="E11" i="14"/>
  <c r="G11" i="14" s="1"/>
  <c r="E10" i="14"/>
  <c r="F24" i="13"/>
  <c r="F23" i="13"/>
  <c r="F22" i="13"/>
  <c r="F21" i="13"/>
  <c r="F20" i="13"/>
  <c r="F18" i="13"/>
  <c r="F16" i="13"/>
  <c r="F13" i="13"/>
  <c r="F12" i="13"/>
  <c r="E25" i="13"/>
  <c r="E24" i="13"/>
  <c r="E23" i="13"/>
  <c r="E22" i="13"/>
  <c r="E21" i="13"/>
  <c r="E20" i="13"/>
  <c r="G20" i="13" s="1"/>
  <c r="E19" i="13"/>
  <c r="G19" i="13" s="1"/>
  <c r="E18" i="13"/>
  <c r="E17" i="13"/>
  <c r="G17" i="13" s="1"/>
  <c r="E16" i="13"/>
  <c r="E15" i="13"/>
  <c r="E14" i="13"/>
  <c r="E11" i="13"/>
  <c r="E10" i="13"/>
  <c r="F31" i="11"/>
  <c r="F30" i="11"/>
  <c r="F17" i="11"/>
  <c r="F25" i="11" s="1"/>
  <c r="F24" i="11"/>
  <c r="F15" i="11"/>
  <c r="F20" i="11"/>
  <c r="F13" i="11"/>
  <c r="F19" i="12"/>
  <c r="F18" i="12"/>
  <c r="F13" i="12"/>
  <c r="F17" i="12" s="1"/>
  <c r="F11" i="12"/>
  <c r="F15" i="12" s="1"/>
  <c r="F10" i="12"/>
  <c r="F12" i="12" s="1"/>
  <c r="E20" i="12"/>
  <c r="G20" i="12" s="1"/>
  <c r="E19" i="12"/>
  <c r="G19" i="12" s="1"/>
  <c r="E18" i="12"/>
  <c r="E17" i="12"/>
  <c r="E16" i="12"/>
  <c r="E15" i="12"/>
  <c r="E14" i="12"/>
  <c r="E13" i="12"/>
  <c r="E12" i="12"/>
  <c r="E11" i="12"/>
  <c r="E10" i="12"/>
  <c r="G32" i="11"/>
  <c r="E31" i="11"/>
  <c r="E30" i="11"/>
  <c r="G30" i="11" s="1"/>
  <c r="E29" i="11"/>
  <c r="E28" i="11"/>
  <c r="E27" i="11"/>
  <c r="E26" i="11"/>
  <c r="E25" i="11"/>
  <c r="E24" i="11"/>
  <c r="E22" i="11"/>
  <c r="E23" i="11"/>
  <c r="E21" i="11"/>
  <c r="E20" i="11"/>
  <c r="E18" i="11"/>
  <c r="E19" i="11" s="1"/>
  <c r="E17" i="11"/>
  <c r="E16" i="11"/>
  <c r="E15" i="11"/>
  <c r="E14" i="11"/>
  <c r="E13" i="11"/>
  <c r="E12" i="11"/>
  <c r="E10" i="11"/>
  <c r="D12" i="14"/>
  <c r="E12" i="14" s="1"/>
  <c r="D13" i="14"/>
  <c r="E13" i="14" s="1"/>
  <c r="D17" i="14"/>
  <c r="E17" i="14" s="1"/>
  <c r="D18" i="14"/>
  <c r="E18" i="14" s="1"/>
  <c r="D12" i="13"/>
  <c r="E12" i="13" s="1"/>
  <c r="D13" i="13"/>
  <c r="E13" i="13" s="1"/>
  <c r="E11" i="11"/>
  <c r="G11" i="11"/>
  <c r="D10" i="10"/>
  <c r="E10" i="10" s="1"/>
  <c r="F10" i="10"/>
  <c r="D11" i="10"/>
  <c r="E11" i="10" s="1"/>
  <c r="F11" i="10"/>
  <c r="D12" i="10"/>
  <c r="E12" i="10" s="1"/>
  <c r="F12" i="10"/>
  <c r="F13" i="10"/>
  <c r="G13" i="10" s="1"/>
  <c r="F14" i="10"/>
  <c r="D15" i="10"/>
  <c r="E15" i="10" s="1"/>
  <c r="F15" i="10"/>
  <c r="D16" i="10"/>
  <c r="E16" i="10" s="1"/>
  <c r="G17" i="10"/>
  <c r="D18" i="10"/>
  <c r="E18" i="10" s="1"/>
  <c r="F18" i="10"/>
  <c r="D19" i="10"/>
  <c r="E19" i="10" s="1"/>
  <c r="F19" i="10"/>
  <c r="E20" i="10"/>
  <c r="F20" i="10"/>
  <c r="F21" i="10"/>
  <c r="G21" i="10" s="1"/>
  <c r="D22" i="10"/>
  <c r="E22" i="10" s="1"/>
  <c r="F22" i="10"/>
  <c r="D23" i="10"/>
  <c r="E23" i="10" s="1"/>
  <c r="F23" i="10"/>
  <c r="D24" i="10"/>
  <c r="E24" i="10" s="1"/>
  <c r="G25" i="10"/>
  <c r="D26" i="10"/>
  <c r="E26" i="10" s="1"/>
  <c r="F26" i="10"/>
  <c r="D27" i="10"/>
  <c r="E27" i="10" s="1"/>
  <c r="F27" i="10"/>
  <c r="D28" i="10"/>
  <c r="E28" i="10" s="1"/>
  <c r="F28" i="10"/>
  <c r="F29" i="10"/>
  <c r="G29" i="10" s="1"/>
  <c r="F30" i="10"/>
  <c r="G30" i="10" s="1"/>
  <c r="F31" i="10"/>
  <c r="G31" i="10" s="1"/>
  <c r="F32" i="10"/>
  <c r="G32" i="10" s="1"/>
  <c r="G14" i="14" l="1"/>
  <c r="G10" i="14"/>
  <c r="F21" i="11"/>
  <c r="F29" i="11"/>
  <c r="G29" i="11" s="1"/>
  <c r="F19" i="11"/>
  <c r="G19" i="11" s="1"/>
  <c r="F27" i="11"/>
  <c r="G27" i="11" s="1"/>
  <c r="G18" i="13"/>
  <c r="G12" i="13"/>
  <c r="G21" i="13"/>
  <c r="G18" i="14"/>
  <c r="G13" i="14"/>
  <c r="G16" i="13"/>
  <c r="G22" i="13"/>
  <c r="G23" i="13"/>
  <c r="G31" i="11"/>
  <c r="G18" i="12"/>
  <c r="G13" i="13"/>
  <c r="G11" i="13"/>
  <c r="G15" i="13"/>
  <c r="G24" i="13"/>
  <c r="G20" i="14"/>
  <c r="G15" i="12"/>
  <c r="G10" i="13"/>
  <c r="G14" i="13"/>
  <c r="G21" i="11"/>
  <c r="G25" i="11"/>
  <c r="G25" i="13"/>
  <c r="G22" i="14"/>
  <c r="G16" i="14"/>
  <c r="G24" i="14"/>
  <c r="G12" i="14"/>
  <c r="G13" i="12"/>
  <c r="F14" i="12"/>
  <c r="G14" i="12" s="1"/>
  <c r="F16" i="12"/>
  <c r="G16" i="12" s="1"/>
  <c r="G10" i="11"/>
  <c r="G13" i="11"/>
  <c r="G15" i="11"/>
  <c r="G17" i="11"/>
  <c r="G12" i="11"/>
  <c r="G16" i="11"/>
  <c r="G17" i="12"/>
  <c r="G12" i="12"/>
  <c r="G28" i="11"/>
  <c r="G11" i="12"/>
  <c r="G23" i="14"/>
  <c r="G25" i="14"/>
  <c r="F25" i="6"/>
  <c r="G25" i="6" s="1"/>
  <c r="G12" i="6"/>
  <c r="G23" i="1"/>
  <c r="G20" i="11"/>
  <c r="G24" i="11"/>
  <c r="G13" i="1"/>
  <c r="G19" i="14"/>
  <c r="G21" i="14"/>
  <c r="G10" i="12"/>
  <c r="F26" i="11"/>
  <c r="G26" i="11" s="1"/>
  <c r="F22" i="11"/>
  <c r="G22" i="11" s="1"/>
  <c r="F18" i="11"/>
  <c r="G18" i="11" s="1"/>
  <c r="G14" i="11"/>
  <c r="F23" i="11"/>
  <c r="G23" i="11" s="1"/>
  <c r="G15" i="1"/>
  <c r="G21" i="1"/>
  <c r="G22" i="1"/>
  <c r="G24" i="1"/>
  <c r="G19" i="5"/>
  <c r="G20" i="5"/>
  <c r="G21" i="5"/>
  <c r="G22" i="5"/>
  <c r="G17" i="6"/>
  <c r="G18" i="6"/>
  <c r="G19" i="6"/>
  <c r="G20" i="6"/>
  <c r="G21" i="6"/>
  <c r="G28" i="10"/>
  <c r="G27" i="10"/>
  <c r="G26" i="10"/>
  <c r="G24" i="10"/>
  <c r="G23" i="10"/>
  <c r="G22" i="10"/>
  <c r="G20" i="10"/>
  <c r="G19" i="10"/>
  <c r="G18" i="10"/>
  <c r="G16" i="10"/>
  <c r="G15" i="10"/>
  <c r="G12" i="10"/>
  <c r="G11" i="10"/>
  <c r="G10" i="10"/>
  <c r="G14" i="10"/>
  <c r="G17" i="5"/>
  <c r="G18" i="5"/>
  <c r="G18" i="1"/>
  <c r="G20" i="1"/>
  <c r="F14" i="1"/>
  <c r="G14" i="1" s="1"/>
  <c r="F16" i="1"/>
  <c r="G16" i="1" s="1"/>
  <c r="F19" i="1"/>
  <c r="G19" i="1" s="1"/>
</calcChain>
</file>

<file path=xl/sharedStrings.xml><?xml version="1.0" encoding="utf-8"?>
<sst xmlns="http://schemas.openxmlformats.org/spreadsheetml/2006/main" count="1897" uniqueCount="483">
  <si>
    <t>Пробег</t>
  </si>
  <si>
    <t>Работы</t>
  </si>
  <si>
    <t xml:space="preserve">Нормо час </t>
  </si>
  <si>
    <t>Стоимость работ с НДС</t>
  </si>
  <si>
    <t>Необходимые материалы</t>
  </si>
  <si>
    <t>Общая сума</t>
  </si>
  <si>
    <t>Стоимость мат. с НДС</t>
  </si>
  <si>
    <t>Тормозная жидкость</t>
  </si>
  <si>
    <t>Замена масла, топливного ф-тр</t>
  </si>
  <si>
    <t>MS, масл., топл., сепарат., прокладки кл. криш., масло 5w30 -16 л</t>
  </si>
  <si>
    <t>MS, масл., топл., сепарат., прокладки кл. криш., масло 10w40 -16 л</t>
  </si>
  <si>
    <t>1-ТО, замена масла, замена т-ного ф-тра, ф-тра сепаратора, регул. клапанов, обтяжка стремянок</t>
  </si>
  <si>
    <t>3-ТО, замена масла, замена т-ного ф-тра, ф-тра сепаратора, регул. клапанов, обтяжка стремянок</t>
  </si>
  <si>
    <t>5-ТО, замена масла, замена т-ного ф-тра, ф-тра сепаратора, регул. клапанов, обтяжка стремянок</t>
  </si>
  <si>
    <t>ТО раз в год</t>
  </si>
  <si>
    <t>Раз в год, Работы связанные с безопасностью автомобиля</t>
  </si>
  <si>
    <t>ТО раз в два года</t>
  </si>
  <si>
    <t>Осушитель сжатого воздуха, смазка</t>
  </si>
  <si>
    <t>ТО раз в три года (замена: охлаждающей жидкости, жидкости привода сцепления)</t>
  </si>
  <si>
    <t>MS, масл., топл., сепарат., воздушный ф-тр,масло ЗМ, масло КПП, масло 10w40 -16 л</t>
  </si>
  <si>
    <t>MS, масл., топл., сепарат., воздушный ф-тр,масло ЗМ, масло КПП, масло 5w30 -39 л</t>
  </si>
  <si>
    <t>Пылевой</t>
  </si>
  <si>
    <t>MS, масл., топл., сепарат., прокладки кл. криш., масло 5w30 -39 л</t>
  </si>
  <si>
    <t>MS, масл., топл., сепарат., прокладки кл. криш., масло 5w30 -29 л</t>
  </si>
  <si>
    <t>MS, масл., топл., сепарат., прокладки кл. криш., масло 10w40 -29 л</t>
  </si>
  <si>
    <t>MS, масл., топл., сепарат., воздушный ф-тр,масло ЗМ, масло КПП 75W90, масло 5w30 -29 л</t>
  </si>
  <si>
    <t>MS, масл., топл., сепарат., воздушный ф-тр,масло ЗМ, масло КПП 75W90, масло 10w40 -29 л</t>
  </si>
  <si>
    <t>Ф-тр осушитель</t>
  </si>
  <si>
    <t>ТК задние</t>
  </si>
  <si>
    <t>ТК передние</t>
  </si>
  <si>
    <t>ТО Двигателя+Краткий ТЕСТ</t>
  </si>
  <si>
    <t>ТО КПП+Краткий ТЕСТ</t>
  </si>
  <si>
    <t>ТО Зад. Мост.+Краткий ТЕСТ</t>
  </si>
  <si>
    <t>ТО ОЖ+Краткий ТЕСТ</t>
  </si>
  <si>
    <t>ТО Осушитель+Краткий ТЕСТ</t>
  </si>
  <si>
    <t>ТО воздушный ф-тр+Краткий ТЕСТ</t>
  </si>
  <si>
    <t>Тормоз М+Краткий ТЕСТ</t>
  </si>
  <si>
    <t>Масло 5w30 -32л+фильтр</t>
  </si>
  <si>
    <t>Масло 10w40 -32л+фильтр</t>
  </si>
  <si>
    <t>Общее2,3,5,6,8,9…. ТО+Краткий ТЕСТ</t>
  </si>
  <si>
    <t>Общее ТО 1,4,7,10...+Краткий ТЕСТ</t>
  </si>
  <si>
    <t>Масло ЗМ 85w90 14л</t>
  </si>
  <si>
    <t>Воздушный ф-тр</t>
  </si>
  <si>
    <t>Топливный ф-тр</t>
  </si>
  <si>
    <t>Масло ЗМ 85w90 17л</t>
  </si>
  <si>
    <t>Масло 5w30 -36л+фильтр</t>
  </si>
  <si>
    <t>Масло 10w40 -36л+фильтр</t>
  </si>
  <si>
    <t>Масло ЗМ 85w90 40л</t>
  </si>
  <si>
    <t>Шайба поддона</t>
  </si>
  <si>
    <t>Наименование</t>
  </si>
  <si>
    <t>масляный ф-тр, топливный ф-тр, масло 10w40, шайба</t>
  </si>
  <si>
    <t>ТК передние 1к.</t>
  </si>
  <si>
    <t>ТК задние 1к.</t>
  </si>
  <si>
    <t>Большое техническое обслуживание выполнить</t>
  </si>
  <si>
    <t>Большое ТО+Замена масла в АКПП</t>
  </si>
  <si>
    <t xml:space="preserve">* * * * * </t>
  </si>
  <si>
    <t xml:space="preserve">* * * * * * * * *  </t>
  </si>
  <si>
    <t xml:space="preserve">* * * * * * * * * * </t>
  </si>
  <si>
    <t xml:space="preserve">* * * * </t>
  </si>
  <si>
    <t>******</t>
  </si>
  <si>
    <t xml:space="preserve">* * * * * * </t>
  </si>
  <si>
    <t>Замена масла АКПП</t>
  </si>
  <si>
    <t>Масло АКПП, фильтр, прокладка, шайба</t>
  </si>
  <si>
    <t>Замена масла в мех КПП</t>
  </si>
  <si>
    <t>Замена масла в заднем мосту</t>
  </si>
  <si>
    <t>Раз в 2год</t>
  </si>
  <si>
    <t>Замена тормозной жидкости</t>
  </si>
  <si>
    <t>Раз в 3год</t>
  </si>
  <si>
    <t>замена охлаждающей жидкости</t>
  </si>
  <si>
    <t>Тариф Trapo</t>
  </si>
  <si>
    <t>Стоимость услуг с НДС</t>
  </si>
  <si>
    <t>Стоимость ТМЦ с НДС</t>
  </si>
  <si>
    <t>Раз в год, работы связанные с безопасностью автомобиля</t>
  </si>
  <si>
    <t>ТО двигателя + смазка+1-общее ТО + краткий ТЕСТ</t>
  </si>
  <si>
    <t>Масло 5w30 - 32л + топливный ф-тр + прок.кл.крыш .+ фильтр масляный + MS</t>
  </si>
  <si>
    <t>ТО двигателя + смазка + общее 2 + краткий ТЕСТ</t>
  </si>
  <si>
    <t>ТО двигателя + смазка + общее 3 + ТО воздушный ф-тр + краткий ТЕСТ</t>
  </si>
  <si>
    <t>ТО двигателя + смазка + 4-общее ТО + краткий ТЕСТ</t>
  </si>
  <si>
    <t>Масло 5w30 -32 л + топливный ф-тр + прок.кл.крыш. + фильтр масляный + MS</t>
  </si>
  <si>
    <t>ТО двигателя + смазка + 5 Общее ТО + краткий ТЕСТ</t>
  </si>
  <si>
    <t>ТО Двигателя+смазка+6-Общее ТО+ТО воздушный ф-тр+Краткий ТЕСТ</t>
  </si>
  <si>
    <t>Масло 5w30 -32л+топливный ф-тр+фильтр+воздушный фильтр+MS</t>
  </si>
  <si>
    <t>ТО Двигателя+смазка+ 7-Общее ТО +ТО  КПП+фильтр сепаратора+Краткий ТЕСТ</t>
  </si>
  <si>
    <t>Масло 5w30 -32л+топливный ф-тр+прок.кл.крыш.+фильтр сепар.+фильтр масляный+масло КПП 80W+MS</t>
  </si>
  <si>
    <t>ТО Двигателя+смазка+8 Общее ТО+Краткий ТЕСТ</t>
  </si>
  <si>
    <t>Масло 5w30 -32л+топливный ф-тр+фильтр+MS</t>
  </si>
  <si>
    <t>ТО Двигателя+смазка+9-Общее ТО+ТО воздушный ф-тр+Краткий ТЕСТ</t>
  </si>
  <si>
    <t>Ш 4х2 Евро 3</t>
  </si>
  <si>
    <t>Ш 6х2 Евро 3</t>
  </si>
  <si>
    <t xml:space="preserve"> Прокладка АКПП</t>
  </si>
  <si>
    <t xml:space="preserve"> Шайба АКПП</t>
  </si>
  <si>
    <t xml:space="preserve"> Фильтр АКПП</t>
  </si>
  <si>
    <t xml:space="preserve">До 50 000 </t>
  </si>
  <si>
    <t xml:space="preserve">До 100 000 </t>
  </si>
  <si>
    <t xml:space="preserve">До 150 000 </t>
  </si>
  <si>
    <t xml:space="preserve">До 200 000 </t>
  </si>
  <si>
    <t xml:space="preserve">До 250 000 </t>
  </si>
  <si>
    <t xml:space="preserve">До 300 000 </t>
  </si>
  <si>
    <t xml:space="preserve">До 350 000 </t>
  </si>
  <si>
    <t xml:space="preserve">До 400 000 </t>
  </si>
  <si>
    <t xml:space="preserve">До 450 000 </t>
  </si>
  <si>
    <t xml:space="preserve">До 500 000 </t>
  </si>
  <si>
    <t xml:space="preserve">До 60 000 </t>
  </si>
  <si>
    <t xml:space="preserve">До120 000 </t>
  </si>
  <si>
    <t xml:space="preserve">До 180 000 </t>
  </si>
  <si>
    <t xml:space="preserve">До 240 000 </t>
  </si>
  <si>
    <t xml:space="preserve">До 360 000 </t>
  </si>
  <si>
    <t xml:space="preserve">До 420 000 </t>
  </si>
  <si>
    <t xml:space="preserve">До 480 000 </t>
  </si>
  <si>
    <t>До 75  000</t>
  </si>
  <si>
    <t>До 150  000</t>
  </si>
  <si>
    <t>До 225  000</t>
  </si>
  <si>
    <t xml:space="preserve">До  300 000 </t>
  </si>
  <si>
    <t>До 375 000</t>
  </si>
  <si>
    <t>До 450 000</t>
  </si>
  <si>
    <t>До 525 000</t>
  </si>
  <si>
    <t>До 600 000</t>
  </si>
  <si>
    <t>До 675 000</t>
  </si>
  <si>
    <t>Затверджую</t>
  </si>
  <si>
    <t>Генеральний директор</t>
  </si>
  <si>
    <t>ПрАТ "АТП "Атлант"</t>
  </si>
  <si>
    <t>Стоимость (грн.)</t>
  </si>
  <si>
    <t xml:space="preserve">Карта технического обслуживания для автомобей типа Sprinter 904 </t>
  </si>
  <si>
    <t xml:space="preserve">Карта технического обслуживания для автомобилей типа Vito/Viano </t>
  </si>
  <si>
    <t xml:space="preserve">Карта технического обслуживания для автомобей типа Sprinter 906 </t>
  </si>
  <si>
    <t>Зависит от эксплуатации (Система Telligent)</t>
  </si>
  <si>
    <t>200(Bh)</t>
  </si>
  <si>
    <t>600 (Bh)</t>
  </si>
  <si>
    <t>1200(Bh)</t>
  </si>
  <si>
    <t>1800(Bh)</t>
  </si>
  <si>
    <t>2400(Bh)</t>
  </si>
  <si>
    <t>3000(Bh)</t>
  </si>
  <si>
    <t>J1 раз в год</t>
  </si>
  <si>
    <t>Осушитель сжатого воздуха</t>
  </si>
  <si>
    <t>Охлаждающую жидкость заменить, привод сцепления, замена жидкости</t>
  </si>
  <si>
    <t>Фильтр Воздушный</t>
  </si>
  <si>
    <t>Фильтр Влагоотделитель</t>
  </si>
  <si>
    <t>Фильтр Пылевой</t>
  </si>
  <si>
    <t>Фильтр Сцепления</t>
  </si>
  <si>
    <t xml:space="preserve">Шайба </t>
  </si>
  <si>
    <t>Масло Раздатка</t>
  </si>
  <si>
    <t>Масло MS</t>
  </si>
  <si>
    <t>Поликлиновый ремень</t>
  </si>
  <si>
    <t>Замена охлаждающей жидкости</t>
  </si>
  <si>
    <t>Фильтр масляный, масло 5W30 9л, уплотнительное кольцо</t>
  </si>
  <si>
    <t>Обслуживание системы смазки плюс выполнить</t>
  </si>
  <si>
    <t>Фильтр масляный, топливный, воздушный, пылевой, масло 5W30 9 л, уплотнительное кольцо</t>
  </si>
  <si>
    <t>Фильтр масляный, масло 5W30 1-Le 9 л, уплотнительное кольцо</t>
  </si>
  <si>
    <t>Фильтр масляный, масло 5W30 11 л, уплотнительное кольцо</t>
  </si>
  <si>
    <t>Фильтр масляный, топливный, воздушный, пылевой масло 5W30 11 л, уплотнительное кольцо</t>
  </si>
  <si>
    <t>Фильтр масляный, масло 5W3011 л, уплотнительное кольцо</t>
  </si>
  <si>
    <t>ТО раз в два года (гранулированный патрон осушителя)</t>
  </si>
  <si>
    <t>4-ТО, замена масла, замена т-ного ф-тра, замена воздушного ф-тра, ф-тра сепаратора, замена масла КПП, замена масла ЗМ, обтяжка стремянок</t>
  </si>
  <si>
    <t>2-ТО, замена масла, замена т-ного ф-тра, замена воздушного ф-тра, ф-тра сепаратора, замена масла КПП, замена масла ЗМ, обтяжка стремянок</t>
  </si>
  <si>
    <t>ТО раз в два года (гранулированный патрон осушителя, смазка)</t>
  </si>
  <si>
    <t xml:space="preserve">Масляный фильтр </t>
  </si>
  <si>
    <t>Z2 Каждые 2 года</t>
  </si>
  <si>
    <t>Z3 Каждые 3 года</t>
  </si>
  <si>
    <t>W2 Замена масла переднем мосту, заднем мосту, бортовых ступицах, проверка вала отбора мощности, обтяжка ходовой</t>
  </si>
  <si>
    <t>Работы связанные с безопасностью</t>
  </si>
  <si>
    <t>Замена осушителя, обтяжка  ходовой</t>
  </si>
  <si>
    <t xml:space="preserve">Масло18л +масляный фильтр </t>
  </si>
  <si>
    <t>Масло задний мост 4,1л, передний мост + бортовые передачи 3,9л</t>
  </si>
  <si>
    <t>Масло ДВС 16л, топливный, масляный, воздушний, пылевой, прокладка клапанной крышки, фильтр сцепления, масло 18 л, МS</t>
  </si>
  <si>
    <t xml:space="preserve"> Масло ДВС, сцепление с гидротрансформатором, замена масла и фильтра (масло КПП 11л, передний мост, задний мостМ MS), воздушного, поклинового ремня, топливного</t>
  </si>
  <si>
    <t>Антифриз 13 л + вода 13л , тормозная жидкость</t>
  </si>
  <si>
    <t>Тариф LKW</t>
  </si>
  <si>
    <t>Большое ТО+Замена масла в автоматической коробке передач (АКПП)</t>
  </si>
  <si>
    <t>Воздушный фильтр</t>
  </si>
  <si>
    <t>Фильтр масляный, топливный, воздушный, пылевой, масло 5W30 11 л, уплотнительное кольцо</t>
  </si>
  <si>
    <t>Фильтр масляный, топливний, воздушный, пылевой, масло 5W30 11 л, уплотнительное кольцо</t>
  </si>
  <si>
    <t>Фильтр масляный, топливный, воздушный, пылевой, масло 5W3011 л, уплотнительное кольцо</t>
  </si>
  <si>
    <t>MS, масляный фильтр, топливный фильтр,  фильтр сепаратора, прокладки клапанной крышки, масло 5w30 -16 л</t>
  </si>
  <si>
    <t>Масляный фильтр, топливный фильтр, фильтр сепаратора, воздушный фильтр, масло задний мост, масло КПП, масло 5w30 -16 л, MS</t>
  </si>
  <si>
    <t>MS, масляный фильтр, топливный фильтр, фильтр сепаратора, прокладки клапанной крш., масло 5w30 -16 л</t>
  </si>
  <si>
    <t>MS, масл., топл., сепарат., прокладки кл. крышки, масло 10w40 -16 л</t>
  </si>
  <si>
    <t>MS, масляный фильтр, топливный фильтр, фильтр сепаратора, воздушный фильтр, масло заднего моста, масло КПП, масло 5w30 -16 л</t>
  </si>
  <si>
    <t>Фильтр масляный, топливный, воздушный, пылевой, масло 5W30 1-Le 9 л, уплотнительное кольцо</t>
  </si>
  <si>
    <t xml:space="preserve"> Для автомобилей с сажевым фильтром системы нейтрализации отработанных газов</t>
  </si>
  <si>
    <t>________________ С.М. Сухомлин</t>
  </si>
  <si>
    <t>ЗПЧ</t>
  </si>
  <si>
    <t>Карта технического обслуживания для автомобилей типа Unimoug U 300</t>
  </si>
  <si>
    <t>Масло в гидротрансформатор сцепления</t>
  </si>
  <si>
    <t>Масло АКПП 8 л, фильтр, прокладка, шайба</t>
  </si>
  <si>
    <t>Масло КПП 2л</t>
  </si>
  <si>
    <t>Масло в задний мост 1,5л</t>
  </si>
  <si>
    <t>Масло КПП 2,5л</t>
  </si>
  <si>
    <t>Масло 85w90 2л</t>
  </si>
  <si>
    <t>Большое ТО+Замена масла в АКПП 9л</t>
  </si>
  <si>
    <t>Масло КПП 3л</t>
  </si>
  <si>
    <t>Масло в задний мост 2,5л</t>
  </si>
  <si>
    <t>Для Автомобилей С сажевым фильтром системы нейтрализации ОГ</t>
  </si>
  <si>
    <t>Масло КПП 13л 75w85</t>
  </si>
  <si>
    <t>Пробег (мото-часы)</t>
  </si>
  <si>
    <t xml:space="preserve">50 (Bh) </t>
  </si>
  <si>
    <t xml:space="preserve">Масло ЗМ+ПМ+Бортовые 75w90 </t>
  </si>
  <si>
    <t>Ш 4х2 Евро 4</t>
  </si>
  <si>
    <t>Ш 6х2 Евро 4</t>
  </si>
  <si>
    <t>Ш 6х4 Евро 4</t>
  </si>
  <si>
    <t>2-ТО, замена масла, замена т-ного ф-тра, замена воздушного ф-тра, ф-тра сепаратора, замена масла КПП, замена масла ЗМ, обтяжка стремянок,замена ф-ра AdBlue</t>
  </si>
  <si>
    <t>4-ТО, замена масла, замена т-ного ф-тра, замена воздушного ф-тра, ф-тра сепаратора, замена масла КПП, замена масла ЗМ, обтяжка стремянок,замена ф-ра AdBlue</t>
  </si>
  <si>
    <t>ТО раз в три года (замена: охлаждающей жидкости, жидкости привода сцепления)+замена воздушного ф-ра не реже чем раз в 3 года</t>
  </si>
  <si>
    <t>Масло 5w30 -35л+фильтр</t>
  </si>
  <si>
    <t>Масло 10w40 -35л+фильтр</t>
  </si>
  <si>
    <t>Дополнительные работы при каждом 2-м ТО Двигателя</t>
  </si>
  <si>
    <t>Масло ЗМ 75w90 11,5л</t>
  </si>
  <si>
    <t>ТО раз в два года (гранулированный патрон осушителя)+Краткий ТЕСТ</t>
  </si>
  <si>
    <t>ТО раз в три года (замена: охлаждающей жидкости, жидкости привода сцепления)+замена воздушного ф-ра не реже чем раз в 3 года+Краткий ТЕСТ</t>
  </si>
  <si>
    <t>Масло ЗМ 85w90 18л</t>
  </si>
  <si>
    <t>ТО Тормоз-замедлитель(ретардер)+Краткий ТЕСТ</t>
  </si>
  <si>
    <t>Масло 10w40 - 6л</t>
  </si>
  <si>
    <t>Каждое 2-е ТО Тормоз-замедлителя(ретардер)+замена ф-ра+Краткий ТЕСТ</t>
  </si>
  <si>
    <t>Масло 10w40 - 6л+ ф-р</t>
  </si>
  <si>
    <t>Масло ЗМ 85w90 22л</t>
  </si>
  <si>
    <t>К 8х4/4 Евро 3</t>
  </si>
  <si>
    <t>Ш 8х4/4 Евро 4</t>
  </si>
  <si>
    <t>Ш 6х4 Евро 3</t>
  </si>
  <si>
    <t>Карта технического обслуживания для автомобей типа Sprinter 909</t>
  </si>
  <si>
    <t>Фильтр масляный, масло 5W30 10 л, уплотнительное кольцо</t>
  </si>
  <si>
    <t>Фильтр масляный, топливный, воздушный, пылевой масло 5W30 10 л, уплотнительное кольцо</t>
  </si>
  <si>
    <t>Фильтр масляный, топливный, воздушный, пылевой, масло 5W30 10 л, уплотнительное кольцо</t>
  </si>
  <si>
    <t>Фильтр масляный, топливний, воздушный, пылевой, масло 5W30 10 л, уплотнительное кольцо</t>
  </si>
  <si>
    <t>Масло КПП 2,1л</t>
  </si>
  <si>
    <t>Масло в задний мост 1,8л</t>
  </si>
  <si>
    <t>Карта технического обслуживания для автомобилей типа Vito/Viano  447</t>
  </si>
  <si>
    <t>10лет-200т</t>
  </si>
  <si>
    <t>Фильтр масляный, масло 10W40 9л, уплотнительное кольцо</t>
  </si>
  <si>
    <t>Фильтр масляный, масло10W40 9л, уплотнительное кольцо</t>
  </si>
  <si>
    <t xml:space="preserve">До 20 000 </t>
  </si>
  <si>
    <t>До 40 000</t>
  </si>
  <si>
    <t>До 80 000</t>
  </si>
  <si>
    <t>До 100 000</t>
  </si>
  <si>
    <t>До 120  000</t>
  </si>
  <si>
    <t xml:space="preserve">До 20 000  </t>
  </si>
  <si>
    <t xml:space="preserve">До 40 000 </t>
  </si>
  <si>
    <t>До 60 000</t>
  </si>
  <si>
    <t xml:space="preserve">До  80 000 </t>
  </si>
  <si>
    <t xml:space="preserve">До  100 000 </t>
  </si>
  <si>
    <t xml:space="preserve">До  120 000 </t>
  </si>
  <si>
    <t xml:space="preserve">До  40 000 </t>
  </si>
  <si>
    <t xml:space="preserve">До 80 000 </t>
  </si>
  <si>
    <t>10лет-180т</t>
  </si>
  <si>
    <t>10лет-300т</t>
  </si>
  <si>
    <t>Ож.21л+20л</t>
  </si>
  <si>
    <t>Масло 5w30 - 32л + топливный ф-тр + фильтр масляный + MS</t>
  </si>
  <si>
    <t>Масло 5w30 - 32 л. + топливный ф-тр + масляный фильтр + воздушный фильтр + MS</t>
  </si>
  <si>
    <t>Масло 5w30 - 32 л + топливный ф-тр + масляный фильтр + MS</t>
  </si>
  <si>
    <t>Масло 5w30 -32л+топливный ф-тр+масляный фильтр+воздушный фильтр+MS</t>
  </si>
  <si>
    <t>ТО раз в три года (замена: охлаждающей жидкости, жидкости привода сцепления, воздушный фильтр)</t>
  </si>
  <si>
    <t>ТО раз в три года</t>
  </si>
  <si>
    <t>Замена смазки в ступицах</t>
  </si>
  <si>
    <t>Топливный ф-тр+прок.кл.крыш.</t>
  </si>
  <si>
    <t>Масло КПП 80W 15л</t>
  </si>
  <si>
    <t>Масло КПП 75w90 14л</t>
  </si>
  <si>
    <t>Пылевой, смазка, осушитель</t>
  </si>
  <si>
    <t>Ремкомплект ступиц</t>
  </si>
  <si>
    <t>Смазка, осушитель</t>
  </si>
  <si>
    <t>Фильтр салона, шарнирная смазка, фильтр клапана осушителя воздуха</t>
  </si>
  <si>
    <t>W1 Замена масла +масляного фильтра+чистка фильтра грубой очистки сцепления с гидротрансформатором.</t>
  </si>
  <si>
    <t>W3 Замена масляного фильтра+чистка фильтра грубой очистки сцепления с гидротрансформатором.</t>
  </si>
  <si>
    <t>W4+W3 Замена масла ДВС, топливных фильтров,воздушного, регулеровка клапанов, замена фильтра гидротрансформатора сцепления</t>
  </si>
  <si>
    <t>W5+W3 Замена масла ДВС сцепления с гидротрансформатором (замена масла и фильтра), замена масла КПП, ПМ, ЗМ, смазка ходовой, замена воздушного фильтра, поклинового ремня, топливных фильтров</t>
  </si>
  <si>
    <t>W3 Замена масляного фильтра+чистка фильтра грубой очистки сцепления с гидротрансформатором</t>
  </si>
  <si>
    <t>Масляный фильтр, топливный фильтр, масло 5w30 16л, шайба поддона</t>
  </si>
  <si>
    <t>Масляный фильтр, топливный фильтр, масло 10w40 16л, шайба</t>
  </si>
  <si>
    <t>Масляный фильтр, топливный фильтр, масло 5w30 16л, шайба</t>
  </si>
  <si>
    <t>Масляный ф-тр, топливный ф-тр, масло 5w30 16л, шайба</t>
  </si>
  <si>
    <t>Масляный ф-тр, топливный ф-тр, масло 10w40 16л, шайба</t>
  </si>
  <si>
    <t xml:space="preserve">Пылевой, смазка, </t>
  </si>
  <si>
    <t>Масляный ф-тр, топливный ф-тр, масло 5w30 29л, шайба</t>
  </si>
  <si>
    <t>Масляный ф-тр, топливный ф-тр, масло 5w30, шайба</t>
  </si>
  <si>
    <t>Масляный ф-тр, топливный ф-тр, масло 10w40, шайба</t>
  </si>
  <si>
    <t>Масляный ф-тр, топливный ф-тр, масло 5w30 - 39 л, шайба</t>
  </si>
  <si>
    <t>Фильтр AdBlue</t>
  </si>
  <si>
    <t>Топливные фильтра</t>
  </si>
  <si>
    <t>Топливные фильтра+прок.клапанной крышки</t>
  </si>
  <si>
    <t>Охлаждающая жидкость 21л+20л</t>
  </si>
  <si>
    <t>Фильтр осушителя</t>
  </si>
  <si>
    <t>Тормозные колодки передние</t>
  </si>
  <si>
    <t>Тормозные колодки задние</t>
  </si>
  <si>
    <t>Пылевой, смазка</t>
  </si>
  <si>
    <t>Пылевой фильтр, смазка</t>
  </si>
  <si>
    <t>Общее2,3,5,6,8,9… ТО + Краткий ТЕСТ</t>
  </si>
  <si>
    <t>Общее ТО 1,4,7,10...+ Краткий ТЕСТ</t>
  </si>
  <si>
    <t>ТО КПП + Краткий ТЕСТ</t>
  </si>
  <si>
    <t>ТО Задний мост + Краткий ТЕСТ</t>
  </si>
  <si>
    <t>ТО Охлаждающей жидкости + Краткий ТЕСТ</t>
  </si>
  <si>
    <t>ТО Осушитель + Краткий ТЕСТ</t>
  </si>
  <si>
    <t>ТО воздушный фильтр + Краткий ТЕСТ</t>
  </si>
  <si>
    <t>Тормоз М (1-й оси) + Краткий ТЕСТ</t>
  </si>
  <si>
    <t>Тормоз М (2-й оси) + Краткий ТЕСТ</t>
  </si>
  <si>
    <t>Раз в год, работы связанные с безопасностью автомобиля+Краткий ТЕСТ</t>
  </si>
  <si>
    <t>Раз в год, работы связанные с безопасностью автомобиля + Краткий ТЕСТ</t>
  </si>
  <si>
    <t>ТО раз в два года (гранулированный патрон осушителя) + Краткий ТЕСТ</t>
  </si>
  <si>
    <t>ТО раз в три года (замена: охлаждающей жидкости, жидкости привода сцепления) + замена воздушного ф-ра не реже чем раз в 3 года+Краткий ТЕСТ</t>
  </si>
  <si>
    <t>Топливные фильтра + прок.клапанной крышки</t>
  </si>
  <si>
    <t xml:space="preserve">Пылевой фильтр, смазка </t>
  </si>
  <si>
    <t>Замена смазки в ступицах переднего и заднего поддерживающего моста</t>
  </si>
  <si>
    <t>ТО Двигателя + Краткий ТЕСТ</t>
  </si>
  <si>
    <t>Общее2,3,5,6,8,9…. ТО + Краткий ТЕСТ</t>
  </si>
  <si>
    <t>Общее ТО 1,4,7,10… + Краткий ТЕСТ</t>
  </si>
  <si>
    <t>ТО Задний мост. + Краткий ТЕСТ</t>
  </si>
  <si>
    <t>ТО Осушителя + Краткий ТЕСТ</t>
  </si>
  <si>
    <t>Тормоз М (3-й оси) + Краткий ТЕСТ</t>
  </si>
  <si>
    <t>Замена смазки в ступицах переднего моста</t>
  </si>
  <si>
    <t>Общее ТО 1,4,7,10… ТО + Краткий ТЕСТ</t>
  </si>
  <si>
    <t>ТО Задний Мост + Краткий ТЕСТ</t>
  </si>
  <si>
    <t>Раз в год, Работы связанные с безопасностью автомобиля + Краткий ТЕСТ</t>
  </si>
  <si>
    <t>Масло КПП 80W 16л</t>
  </si>
  <si>
    <t>Охлаждающая жидкость 27л+27л</t>
  </si>
  <si>
    <t>Фильтр осушитель</t>
  </si>
  <si>
    <t>Воздушные фильтра</t>
  </si>
  <si>
    <t xml:space="preserve">Пылевой, смазка </t>
  </si>
  <si>
    <t>Общее ТО 1,4,7,10…ТО + Краткий ТЕСТ</t>
  </si>
  <si>
    <t>Охладающая жидкость 21л+20л</t>
  </si>
  <si>
    <t>Тормозыне колодки передние</t>
  </si>
  <si>
    <t>Тормозыне колодки задние</t>
  </si>
  <si>
    <t>Общее2,3,5,6,8,9….ТО + Краткий ТЕСТ</t>
  </si>
  <si>
    <t>Тормоз М (4-й оси) + Краткий ТЕСТ</t>
  </si>
  <si>
    <t>Большое ТО + Замена масла в автоматической коробке передач (АКПП)</t>
  </si>
  <si>
    <t>Большое ТО + Замена масла в АКПП</t>
  </si>
  <si>
    <t xml:space="preserve">      Раз в 2 год</t>
  </si>
  <si>
    <t>Раз в 3 год</t>
  </si>
  <si>
    <t>Для Автомобилей с сажевым фильтром системы нейтрализации ОГ</t>
  </si>
  <si>
    <t>Масло КПП 2,8л</t>
  </si>
  <si>
    <t>Масло в передний мост 0,5л</t>
  </si>
  <si>
    <t xml:space="preserve"> Масло в передний мост</t>
  </si>
  <si>
    <t>Замена масла в переднем мосту</t>
  </si>
  <si>
    <t>Зубчатый ремень заменить</t>
  </si>
  <si>
    <t>Фильтр масляный, масло 5W30 4,5л, уплотнительное кольцо</t>
  </si>
  <si>
    <t>Фильтр масляный, масло 5W30 1-Le 4,5л, уплотнительное кольцо</t>
  </si>
  <si>
    <t>Фильтр масляный, топливный, воздушный, пылевой, масло 5W30 1-Le 4,5 л, уплотнительное кольцо</t>
  </si>
  <si>
    <t>Фильтр масляный, топливный, воздушный, масло 5W30 4,5л, уплотнительное кольцо</t>
  </si>
  <si>
    <t>Фильтр масляный, топливный, воздушный, масло 5W30 4,5 л, уплотнительное кольцо</t>
  </si>
  <si>
    <t>Раз в 2 года</t>
  </si>
  <si>
    <t>Пыливой фильт заменить</t>
  </si>
  <si>
    <t>Пыливой фильтр</t>
  </si>
  <si>
    <t>Ремень</t>
  </si>
  <si>
    <t>Ремень, помпа ОЖ, натяжной ролик</t>
  </si>
  <si>
    <t>Поликлиновый ремень заменить</t>
  </si>
  <si>
    <t>Помпа ОЖ</t>
  </si>
  <si>
    <t>6 лет - 120т</t>
  </si>
  <si>
    <t>4 лет - 160т</t>
  </si>
  <si>
    <t>Карта технического обслуживания для автомобилей типа Citan 415</t>
  </si>
  <si>
    <t>Концентрат 4,5 л. Дист-ная вода 4</t>
  </si>
  <si>
    <t>До 75 000</t>
  </si>
  <si>
    <t>Техобслуживание двигателя Telligent: Замену масла с заменой фильтра выполнить,Общие работы по техобслуживанию Telligent: обслуживание топливного фильтра выполнить (при последующих ТО в рамках системы Telligent),Дополнение к техобслуживанию Telligent: Поликлиновой ремень проверить,Дополнение к общему техобслуживанию Telligent: Фильтрующий элемент топливного фильтра заменить А/м с кодом M8Y и влагоотделителем,Общее техобслуживание  'Telligent': смазочные работы выполнить (при последующих ТО в рамках системы Telligent),Общие работы по техобслуживанию Telligent: зазор клапанов отрегулировать (при последующих ТО в рамках системы Telligent),Память неисправностей считать и стереть,Сервисные данные на дисплее обработать (после завершения ремонта).</t>
  </si>
  <si>
    <t>масляный ф-тр, топливные ф-тра,MS, масло 5w30 39л, шайба,прокладки кл. криш.</t>
  </si>
  <si>
    <t>До 150 000</t>
  </si>
  <si>
    <t>Техобслуживание двигателя Telligent: Замену масла с заменой фильтра выполнить,Общие работы по техобслуживанию Telligent: обслуживание топливного фильтра выполнить (при последующих ТО в рамках системы Telligent),Дополнение к общему техобслуживанию Telligent: Фильтрующий элемент топливного фильтра заменить А/м с кодом M8Y и влагоотделителем,Дополнение к техобслуживанию Telligent: Поликлиновой ремень проверить,Общее техобслуживание  'Telligent': смазочные работы выполнить (при последующих ТО в рамках системы Telligent),Электронная система технического обслуживания (Telligent)  всеобъемлющий уход за фильтром AdBlue выполнить (при последующих ТО в рамках системы Telligent),Память неисправностей считать и стереть,Сервисные данные на дисплее обработать (после завершения ремонта).</t>
  </si>
  <si>
    <t>масляный ф-тр, топливные ф-тра,MS, масло 5w30 39л, шайба,Ф-тр AdBlue</t>
  </si>
  <si>
    <t>До 225 000</t>
  </si>
  <si>
    <t>Техобслуживание двигателя Telligent: Замену масла с заменой фильтра выполнить,Общие работы по техобслуживанию Telligent: обслуживание топливного фильтра выполнить (при последующих ТО в рамках системы Telligent),Дополнение к общему техобслуживанию Telligent: Фильтрующий элемент топливного фильтра заменить А/м с кодом M8Y и влагоотделителем,Дополнение к техобслуживанию Telligent: Поликлиновой ремень проверить,Общее техобслуживание  'Telligent': смазочные работы выполнить (при последующих ТО в рамках системы Telligent),Картридж сажевого фильтра (оба) снять и установить (после проверки) Модификация Swenox 'Евро-6',Память неисправностей считать и стереть,Сервисные данные на дисплее обработать (после завершения ремонта).</t>
  </si>
  <si>
    <t>масляный ф-тр, топливные ф-тра,MS, масло 5w30 39л, шайба,Сажевой ф-тр- 2шт.</t>
  </si>
  <si>
    <t>Техобслуживание двигателя Telligent: Замену масла с заменой фильтра выполнить,Общие работы по техобслуживанию Telligent: обслуживание топливного фильтра выполнить (при последующих ТО в рамках системы Telligent),Дополнение к техобслуживанию Telligent: Поликлиновой ремень проверить,Дополнение к общему техобслуживанию Telligent: Фильтрующий элемент топливного фильтра заменить А/м с кодом M8Y и влагоотделителем,Общие работы по техобслуживанию Telligent: зазор клапанов отрегулировать (при последующих ТО в рамках системы Telligent),Электронная система технического обслуживания (Telligent)  всеобъемлющий уход за фильтром AdBlue выполнить (при последующих ТО в рамках системы Telligent),Память неисправностей считать и стереть,Сервисные данные на дисплее обработать (после завершения ремонта).</t>
  </si>
  <si>
    <t>масляный ф-тр, топливные ф-тра,MS, масло 5w30 39л, шайба,прокладки кл. криш.,Ф-тр AdBlue</t>
  </si>
  <si>
    <t>Техобслуживание двигателя Telligent: Замену масла с заменой фильтра выполнить,Общие работы по техобслуживанию Telligent: обслуживание топливного фильтра выполнить (при последующих ТО в рамках системы Telligent),Дополнение к техобслуживанию Telligent: Поликлиновой ремень проверить,Дополнение к общему техобслуживанию Telligent: Фильтрующий элемент топливного фильтра заменить А/м с кодом M8Y и влагоотделителем,Общее техобслуживание  'Telligent': смазочные работы выполнить (при последующих ТО в рамках системы Telligent),Картридж сажевого фильтра (оба) снять и установить (после проверки) Модификация Swenox 'Евро-6',Память неисправностей считать и стереть,Сервисные данные на дисплее обработать (после завершения ремонта).</t>
  </si>
  <si>
    <t>Периодическое техобслуживание Telligent: -один раз в год- : выполнить,Общее техобслуживание  'Telligent': смазочные работы выполнить (при последующих ТО в рамках системы Telligent),Дополнение к техобслуживанию Telligent по времени эксплуатации: 1 фильтр в вентиляционном воздуховоде топливного бака заменить А/м с 1 топливным баком,Периодическое техобслуживание Telligent: работы, имеющие значение для безопаcноcти движения: выполнить,Память неисправностей считать и стереть,Сервисные данные на дисплее обработать (после завершения ремонта)</t>
  </si>
  <si>
    <t>Пылевой фильтр,Ф-тр влагоделителя,Ф-тр в вентиляционном воздуховоде топливного бака,MS</t>
  </si>
  <si>
    <t>Периодическое техобслуживание Telligent: -каждые 2 года- : выполнить,Общее техобслуживание  'Telligent': смазочные работы выполнить (при последующих ТО в рамках системы Telligent),Дополнение к техобслуживанию Telligent по времени эксплуатации: 1 фильтр в вентиляционном воздуховоде топливного бака заменить А/м с 1 топливным баком,Периодическое техобслуживание Telligent: работы, имеющие значение для безопаcноcти движения: выполнить,Память неисправностей считать и стереть,Сервисные данные на дисплее обработать (после завершения ремонта)</t>
  </si>
  <si>
    <t>Периодическое техобслуживание Telligent: -каждые 3 года- : выполнить,Техобслуживание Telligent: сменный патрон воздушного фильтра заменить (при последующих ТО в рамках системы Telligent) А/м с передним воздухозаборником,Электронная система технического обслуживания (Telligent) охлаждающая жидкость с защитой от замерзания заменить (при последующих ТО в рамках системы Telligent),Общее техобслуживание  'Telligent': смазочные работы выполнить (при последующих ТО в рамках системы Telligent),Дополнение к техобслуживанию Telligent по времени эксплуатации: 1 фильтр в вентиляционном воздуховоде топливного бака заменить А/м с 1 топливным баком,Периодическое техобслуживание Telligent: работы, имеющие значение для безопаcноcти движения: выполнить,Память неисправностей считать и стереть,Сервисные данные на дисплее обработать (после завершения ремонта)</t>
  </si>
  <si>
    <t>Пылевой фильтр,Ф-тр влагоделителя,Ф-тр в вентиляционном воздуховоде топливного бака,MS,Воздушный фильтр,Охлаждающая жидкость 325.0 -30л,Вамп Вода Дистилированная 30л</t>
  </si>
  <si>
    <t>Замена масла КПП согласно показаний WS примерно 250т</t>
  </si>
  <si>
    <t>Техобслуживание Telligent: обслуживание системы смазки механической КП: выполнить,Память неисправностей считать и стереть,Сервисные данные на дисплее обработать (после завершения ремонта).</t>
  </si>
  <si>
    <t>Масло КПП 235.11 -10л</t>
  </si>
  <si>
    <t xml:space="preserve">Замена масла ЗМ согласно показаний WS примерно 250т </t>
  </si>
  <si>
    <t>Техобслуживание Telligent: обслуживание системы смазки заднего моста (-ов): выполнить А/м с гипоидным мостом,Память неисправностей считать и стереть,Сервисные данные на дисплее обработать (после завершения ремонта).</t>
  </si>
  <si>
    <t>Масло ЗМ 235.8 -11л</t>
  </si>
  <si>
    <t>Карта технического обслуживания для автомобилей типа Actros 932317 (4моста К 8х4/4)</t>
  </si>
  <si>
    <t>Карта технического обслуживания для автомобилей типа Actros 930208 (Ш 6х2 )</t>
  </si>
  <si>
    <t>Карта технического обслуживания для автомобилей типа Actros   934141 (Ш 6х4)</t>
  </si>
  <si>
    <t>Карта технического обслуживания для автомобилей типа Atego 970265 (Ш 4х2)</t>
  </si>
  <si>
    <t>Карта технического обслуживания для автомобилей типа Atego 970277 (Ш 4х2)</t>
  </si>
  <si>
    <t>Карта технического обслуживания для автомобилей типа Axor 950535 (Ш 4х2)</t>
  </si>
  <si>
    <t>Карта технического обслуживания для автомобилей типа Axor 950605 (Ш 6х2)</t>
  </si>
  <si>
    <t>Карта технического обслуживания для автомобилей типа Actros 934032 (Ш 4х2)</t>
  </si>
  <si>
    <t>Карта технического обслуживания для автомобилей типа Actros 930205 (Ш 6х2)</t>
  </si>
  <si>
    <t>Карта технического обслуживания для автомобилей типа Actros 930145 (Ш 6х4)</t>
  </si>
  <si>
    <t>Карта технического обслуживания для автомобилей типа Actros 932163 (Ш 6х4)</t>
  </si>
  <si>
    <t>Карта технического обслуживания для автомобилей типа Actros 932315 (Ш 8х4/4)</t>
  </si>
  <si>
    <t xml:space="preserve">Карта технического обслуживания для автомобилей типа Actros 1845 LS  </t>
  </si>
  <si>
    <t>Карта технического обслуживания для автомобилей типа Atego 970057 (Ш 4х2)</t>
  </si>
  <si>
    <t>Карта технического обслуживания для автомобилей типа Atego 970058 (Ш 4х2)</t>
  </si>
  <si>
    <t>Карта технического обслуживания для автомобилей типа Axor (Ш 4х2)</t>
  </si>
  <si>
    <t xml:space="preserve"> Масло МЕХ КПП 0019898403</t>
  </si>
  <si>
    <t>5л Оригинал 5 л. Дист.</t>
  </si>
  <si>
    <t>Масло АКПП 9 л, фильтр, прокладка, шайба</t>
  </si>
  <si>
    <t>4,5 л О.Ж.1,5  л5 л. Дист.</t>
  </si>
  <si>
    <t>5,5 л О.Ж.1,5  л5 л. Дист.</t>
  </si>
  <si>
    <t>5л О.Ж. 5 л. Дист.</t>
  </si>
  <si>
    <t>Масло 80w КПП 143943</t>
  </si>
  <si>
    <t>MS 149411</t>
  </si>
  <si>
    <t xml:space="preserve">Воздушный фильтр + крышка </t>
  </si>
  <si>
    <t xml:space="preserve">Шайба поддона /Стопорний болт </t>
  </si>
  <si>
    <t>1 043,76</t>
  </si>
  <si>
    <t xml:space="preserve">До 30 000  </t>
  </si>
  <si>
    <t>До 90 000</t>
  </si>
  <si>
    <t xml:space="preserve">До 120 000 </t>
  </si>
  <si>
    <t xml:space="preserve">До  150 000 </t>
  </si>
  <si>
    <t xml:space="preserve">До  180 000 </t>
  </si>
  <si>
    <t>Тариф</t>
  </si>
  <si>
    <t>10лет-360т</t>
  </si>
  <si>
    <t>Раз в 15 лет</t>
  </si>
  <si>
    <t>Замена масла Роздаточная Коробка</t>
  </si>
  <si>
    <t>Замена масла Передий Мост</t>
  </si>
  <si>
    <t>Большое ТО+Замена масла в АКПП 9л+  Замена Масла Пер. Мост +  Роздаточ Коробка</t>
  </si>
  <si>
    <t>Фильтр масляный, масло 5W30 11,5 л, уплотнительное кольцо</t>
  </si>
  <si>
    <t>Фильтр масляный, масло 5W3011,5 л, уплотнительное кольцо</t>
  </si>
  <si>
    <t>Фильтр масляный, топливный, воздушный, пылевой, масло 5W30 11,5 л, уплотнительное кольцо</t>
  </si>
  <si>
    <t xml:space="preserve"> Масло 5w30 229,51(1л) с сажевым фильтром 000989540417flee</t>
  </si>
  <si>
    <t xml:space="preserve">  Масло 5w30 228,51  000989480417fdee</t>
  </si>
  <si>
    <t xml:space="preserve"> Масло Роздаточная Коробка 1 л</t>
  </si>
  <si>
    <t>Масло Передий Мост 0,65 л</t>
  </si>
  <si>
    <t xml:space="preserve">Масло ЗМ </t>
  </si>
  <si>
    <t>Масло в задний мост 2,2л</t>
  </si>
  <si>
    <t>Карта технического обслуживания для автомобей типа Sprinter 910</t>
  </si>
  <si>
    <t xml:space="preserve">Пылевой фильтр </t>
  </si>
  <si>
    <t>Фильтр масляный, масло 5W30 8 л, уплотнительное кольцо</t>
  </si>
  <si>
    <t>Фильтр масляный, топливный, воздушный, пылевой масло 5W30 8 л, уплотнительное кольцо</t>
  </si>
  <si>
    <t>Фильтр масляный, топливный, воздушный, пылевой, масло 5W30 8 л, уплотнительное кольцо</t>
  </si>
  <si>
    <t>Фильтр масляный, топливний, воздушный, пылевой, масло 5W30 8 л, уплотнительное кольцо</t>
  </si>
  <si>
    <t xml:space="preserve"> Масло АКПП   MB 236,15</t>
  </si>
  <si>
    <t>Масло АКПП</t>
  </si>
  <si>
    <t>Большое ТО+Замена масла в АКПП 5,5л</t>
  </si>
  <si>
    <t>5л О.Ж. 4 л. Дист.</t>
  </si>
  <si>
    <t>5л  4 л. Дист.</t>
  </si>
  <si>
    <t>5л  5 л. Дист.</t>
  </si>
  <si>
    <t xml:space="preserve"> Масляный фильтр </t>
  </si>
  <si>
    <t xml:space="preserve"> Топливный фильтр </t>
  </si>
  <si>
    <t xml:space="preserve"> Воздушный фильтр </t>
  </si>
  <si>
    <t xml:space="preserve"> Пылевой фильтр </t>
  </si>
  <si>
    <t xml:space="preserve">  Масло 5w30  </t>
  </si>
  <si>
    <t xml:space="preserve"> Масло 5w30 (1л) с сажевым фильтром </t>
  </si>
  <si>
    <t xml:space="preserve"> Масло МЕХ КПП </t>
  </si>
  <si>
    <t xml:space="preserve"> Масло АКПП </t>
  </si>
  <si>
    <t xml:space="preserve"> Тормозная жидкость 1 л </t>
  </si>
  <si>
    <t xml:space="preserve"> Охлаждающая жидкость 1,5 л </t>
  </si>
  <si>
    <t xml:space="preserve"> Шайба поддона </t>
  </si>
  <si>
    <t xml:space="preserve"> Вода Дистилированная 1л </t>
  </si>
  <si>
    <t xml:space="preserve"> Прокладка АКПП </t>
  </si>
  <si>
    <t xml:space="preserve"> Шайба АКПП </t>
  </si>
  <si>
    <t xml:space="preserve"> Фильтр АКПП </t>
  </si>
  <si>
    <t xml:space="preserve"> Масло в задний мост </t>
  </si>
  <si>
    <t xml:space="preserve">     Хомут 13 </t>
  </si>
  <si>
    <t xml:space="preserve">   Хомут 15,5 </t>
  </si>
  <si>
    <t xml:space="preserve">Шайба поддона </t>
  </si>
  <si>
    <t xml:space="preserve">Поликлиновый ремень  </t>
  </si>
  <si>
    <t xml:space="preserve">Зубчатый ремень  </t>
  </si>
  <si>
    <t xml:space="preserve">Натяжной ролик ремня </t>
  </si>
  <si>
    <t xml:space="preserve">Топливный фильтр </t>
  </si>
  <si>
    <t xml:space="preserve">Воздушный фильтр </t>
  </si>
  <si>
    <t xml:space="preserve">Масло 10w40 </t>
  </si>
  <si>
    <t xml:space="preserve">Масло Mobilube Hd-a 85w-90 </t>
  </si>
  <si>
    <t xml:space="preserve">  Масло 5w30 228,51  </t>
  </si>
  <si>
    <t xml:space="preserve"> Масло 5w30 229,51(1л) с сажевым фильтром </t>
  </si>
  <si>
    <t xml:space="preserve"> Масло Роздаточная Коробка </t>
  </si>
  <si>
    <t xml:space="preserve">Масло Передий Мост </t>
  </si>
  <si>
    <t xml:space="preserve"> ПРОБКИ АКПП </t>
  </si>
  <si>
    <t xml:space="preserve">Ф-тр сепаратора </t>
  </si>
  <si>
    <t xml:space="preserve">Ф-тр влагоделителя </t>
  </si>
  <si>
    <t xml:space="preserve">Прокладка кл.кришки </t>
  </si>
  <si>
    <t xml:space="preserve">Масло 80w КПП </t>
  </si>
  <si>
    <t xml:space="preserve">Масло 75W90 синтетика КПП </t>
  </si>
  <si>
    <t>Пентасин 00198924013</t>
  </si>
  <si>
    <t xml:space="preserve">MS </t>
  </si>
  <si>
    <t xml:space="preserve">Воздушный фильтр   + крышка </t>
  </si>
  <si>
    <t xml:space="preserve">Пентасин </t>
  </si>
  <si>
    <t xml:space="preserve">Воздушный фильтр  </t>
  </si>
  <si>
    <t xml:space="preserve">ТК </t>
  </si>
  <si>
    <t xml:space="preserve"> Вода Дистилированная 1л</t>
  </si>
  <si>
    <t xml:space="preserve">Р/К ступицы </t>
  </si>
  <si>
    <t xml:space="preserve">Фильтр Топливный грубой очистки </t>
  </si>
  <si>
    <t xml:space="preserve">ф-тр AdBlue </t>
  </si>
  <si>
    <t>Воздушный фильтр + Кришка</t>
  </si>
  <si>
    <t xml:space="preserve">Масло 75W90 синтетика ЗМ </t>
  </si>
  <si>
    <t>Воздушный фильтр  + Кришка</t>
  </si>
  <si>
    <t xml:space="preserve">Ф-тр ретардера </t>
  </si>
  <si>
    <t xml:space="preserve"> Вода Дистилированная 1л -1000</t>
  </si>
  <si>
    <t xml:space="preserve">Масло ЗМ 235.8 </t>
  </si>
  <si>
    <t xml:space="preserve">Сажевой ф-тр 2-шт. </t>
  </si>
  <si>
    <t xml:space="preserve">Ф-тр в вентиляционном воздуховоде топливного бака </t>
  </si>
  <si>
    <t xml:space="preserve">Ф-тр AdBlue </t>
  </si>
  <si>
    <t xml:space="preserve">Карта технического обслуживания для автомобей типа Sprinter 907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</si>
</sst>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b/>
      <sz val="11"/>
      <color indexed="10"/>
      <name val="Arial Cyr"/>
      <charset val="204"/>
    </font>
    <font>
      <b/>
      <sz val="12"/>
      <color rgb="FFFF0000"/>
      <name val="Arial Cyr"/>
      <charset val="204"/>
    </font>
    <font>
      <b/>
      <sz val="12"/>
      <color indexed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Arial Cyr"/>
      <charset val="204"/>
    </font>
    <font>
      <b/>
      <sz val="10"/>
      <name val="Arial"/>
      <family val="2"/>
      <charset val="204"/>
    </font>
    <font>
      <b/>
      <i/>
      <sz val="16"/>
      <name val="Arial Cyr"/>
      <charset val="204"/>
    </font>
    <font>
      <b/>
      <sz val="16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0" fillId="0" borderId="1" xfId="0" applyBorder="1" applyAlignment="1">
      <alignment vertical="justify" wrapText="1"/>
    </xf>
    <xf numFmtId="49" fontId="0" fillId="0" borderId="0" xfId="0" applyNumberFormat="1"/>
    <xf numFmtId="0" fontId="0" fillId="3" borderId="0" xfId="0" applyFill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justify" wrapText="1"/>
    </xf>
    <xf numFmtId="0" fontId="0" fillId="2" borderId="1" xfId="0" applyFill="1" applyBorder="1" applyAlignment="1">
      <alignment horizontal="center" vertical="justify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justify" wrapText="1"/>
    </xf>
    <xf numFmtId="0" fontId="0" fillId="2" borderId="1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justify" wrapText="1"/>
    </xf>
    <xf numFmtId="0" fontId="12" fillId="5" borderId="21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7" fillId="4" borderId="16" xfId="0" applyFont="1" applyFill="1" applyBorder="1" applyAlignment="1">
      <alignment horizontal="center"/>
    </xf>
    <xf numFmtId="0" fontId="0" fillId="2" borderId="0" xfId="0" applyFill="1" applyBorder="1" applyAlignment="1">
      <alignment vertical="justify" wrapText="1"/>
    </xf>
    <xf numFmtId="0" fontId="9" fillId="2" borderId="0" xfId="0" applyFont="1" applyFill="1" applyBorder="1" applyAlignment="1">
      <alignment vertical="justify" wrapText="1"/>
    </xf>
    <xf numFmtId="0" fontId="1" fillId="2" borderId="0" xfId="0" applyFont="1" applyFill="1" applyBorder="1" applyAlignment="1">
      <alignment vertical="justify" wrapText="1"/>
    </xf>
    <xf numFmtId="49" fontId="1" fillId="2" borderId="0" xfId="0" applyNumberFormat="1" applyFont="1" applyFill="1" applyBorder="1" applyAlignment="1">
      <alignment vertical="justify" wrapText="1"/>
    </xf>
    <xf numFmtId="49" fontId="0" fillId="2" borderId="0" xfId="0" applyNumberFormat="1" applyFill="1" applyBorder="1" applyAlignment="1">
      <alignment vertical="justify" wrapText="1"/>
    </xf>
    <xf numFmtId="49" fontId="0" fillId="0" borderId="0" xfId="0" applyNumberFormat="1" applyBorder="1" applyAlignment="1">
      <alignment vertical="justify" wrapText="1"/>
    </xf>
    <xf numFmtId="0" fontId="0" fillId="2" borderId="6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13" fillId="5" borderId="19" xfId="0" applyFont="1" applyFill="1" applyBorder="1" applyAlignment="1">
      <alignment horizontal="center" vertical="justify" wrapText="1"/>
    </xf>
    <xf numFmtId="0" fontId="13" fillId="5" borderId="28" xfId="0" applyFont="1" applyFill="1" applyBorder="1" applyAlignment="1">
      <alignment horizontal="center" vertical="justify" wrapText="1"/>
    </xf>
    <xf numFmtId="0" fontId="13" fillId="5" borderId="21" xfId="0" applyFont="1" applyFill="1" applyBorder="1" applyAlignment="1">
      <alignment horizontal="center" vertical="justify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26" xfId="0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justify" wrapText="1"/>
    </xf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Border="1" applyAlignment="1">
      <alignment horizontal="center" vertical="justify" wrapText="1"/>
    </xf>
    <xf numFmtId="0" fontId="0" fillId="2" borderId="0" xfId="0" applyFill="1" applyBorder="1"/>
    <xf numFmtId="0" fontId="0" fillId="2" borderId="26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8" fillId="5" borderId="14" xfId="0" applyFont="1" applyFill="1" applyBorder="1"/>
    <xf numFmtId="0" fontId="9" fillId="5" borderId="1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textRotation="90"/>
    </xf>
    <xf numFmtId="0" fontId="10" fillId="5" borderId="27" xfId="0" applyFont="1" applyFill="1" applyBorder="1" applyAlignment="1">
      <alignment horizontal="center" vertical="center" textRotation="90"/>
    </xf>
    <xf numFmtId="0" fontId="9" fillId="5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12" fillId="5" borderId="36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49" fontId="0" fillId="2" borderId="0" xfId="0" applyNumberFormat="1" applyFill="1"/>
    <xf numFmtId="0" fontId="16" fillId="2" borderId="0" xfId="0" applyFont="1" applyFill="1"/>
    <xf numFmtId="0" fontId="13" fillId="4" borderId="7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/>
    </xf>
    <xf numFmtId="0" fontId="0" fillId="2" borderId="36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7" fillId="5" borderId="33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 vertical="justify" wrapText="1"/>
    </xf>
    <xf numFmtId="0" fontId="1" fillId="2" borderId="10" xfId="0" applyFont="1" applyFill="1" applyBorder="1" applyAlignment="1">
      <alignment horizontal="center" vertical="justify" wrapText="1"/>
    </xf>
    <xf numFmtId="0" fontId="0" fillId="2" borderId="10" xfId="0" applyFill="1" applyBorder="1" applyAlignment="1">
      <alignment horizontal="center" vertical="justify" wrapText="1"/>
    </xf>
    <xf numFmtId="0" fontId="0" fillId="2" borderId="0" xfId="0" applyFill="1" applyBorder="1" applyAlignment="1">
      <alignment horizontal="center" vertical="justify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" fontId="0" fillId="2" borderId="0" xfId="0" applyNumberFormat="1" applyFill="1"/>
    <xf numFmtId="0" fontId="0" fillId="2" borderId="0" xfId="0" applyFill="1" applyAlignment="1">
      <alignment horizontal="center"/>
    </xf>
    <xf numFmtId="0" fontId="6" fillId="2" borderId="4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6" fillId="2" borderId="37" xfId="0" applyFont="1" applyFill="1" applyBorder="1"/>
    <xf numFmtId="0" fontId="7" fillId="5" borderId="3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7" fillId="5" borderId="4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0" xfId="0" applyFill="1"/>
    <xf numFmtId="0" fontId="9" fillId="5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 wrapText="1"/>
    </xf>
    <xf numFmtId="3" fontId="9" fillId="5" borderId="18" xfId="0" applyNumberFormat="1" applyFont="1" applyFill="1" applyBorder="1" applyAlignment="1">
      <alignment horizontal="center" vertical="center" wrapText="1"/>
    </xf>
    <xf numFmtId="3" fontId="9" fillId="5" borderId="25" xfId="0" applyNumberFormat="1" applyFont="1" applyFill="1" applyBorder="1" applyAlignment="1">
      <alignment horizontal="center" vertical="center" wrapText="1"/>
    </xf>
    <xf numFmtId="3" fontId="9" fillId="5" borderId="20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vertical="center" wrapText="1"/>
    </xf>
    <xf numFmtId="0" fontId="8" fillId="5" borderId="43" xfId="0" applyFont="1" applyFill="1" applyBorder="1" applyAlignment="1">
      <alignment vertical="center" wrapText="1"/>
    </xf>
    <xf numFmtId="0" fontId="0" fillId="2" borderId="46" xfId="0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wrapText="1"/>
    </xf>
    <xf numFmtId="0" fontId="0" fillId="2" borderId="43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25" xfId="0" applyBorder="1"/>
    <xf numFmtId="0" fontId="0" fillId="2" borderId="1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3" fontId="9" fillId="5" borderId="18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3" fontId="9" fillId="5" borderId="18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top" wrapText="1"/>
    </xf>
    <xf numFmtId="0" fontId="6" fillId="2" borderId="37" xfId="0" applyFont="1" applyFill="1" applyBorder="1" applyAlignment="1">
      <alignment horizontal="center" vertical="top" wrapText="1"/>
    </xf>
    <xf numFmtId="3" fontId="9" fillId="5" borderId="18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9" fillId="0" borderId="0" xfId="0" applyFont="1"/>
    <xf numFmtId="0" fontId="0" fillId="5" borderId="29" xfId="0" applyFont="1" applyFill="1" applyBorder="1" applyAlignment="1">
      <alignment horizontal="center" vertical="center" wrapText="1"/>
    </xf>
    <xf numFmtId="0" fontId="0" fillId="2" borderId="51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3" fontId="9" fillId="2" borderId="18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justify" wrapText="1"/>
    </xf>
    <xf numFmtId="0" fontId="1" fillId="5" borderId="2" xfId="0" applyFont="1" applyFill="1" applyBorder="1" applyAlignment="1">
      <alignment horizontal="center" vertical="justify" wrapText="1"/>
    </xf>
    <xf numFmtId="0" fontId="0" fillId="5" borderId="2" xfId="0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justify" wrapText="1"/>
    </xf>
    <xf numFmtId="0" fontId="8" fillId="5" borderId="55" xfId="0" applyFont="1" applyFill="1" applyBorder="1" applyAlignment="1">
      <alignment vertical="center" wrapText="1"/>
    </xf>
    <xf numFmtId="0" fontId="8" fillId="5" borderId="57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justify" wrapText="1"/>
    </xf>
    <xf numFmtId="0" fontId="0" fillId="2" borderId="13" xfId="0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justify" wrapText="1"/>
    </xf>
    <xf numFmtId="0" fontId="9" fillId="2" borderId="3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20" fillId="0" borderId="0" xfId="0" applyFont="1"/>
    <xf numFmtId="0" fontId="6" fillId="0" borderId="0" xfId="0" applyFont="1"/>
    <xf numFmtId="0" fontId="8" fillId="2" borderId="39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3" fontId="9" fillId="5" borderId="18" xfId="0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8" fillId="5" borderId="42" xfId="0" applyFont="1" applyFill="1" applyBorder="1" applyAlignment="1">
      <alignment horizontal="center" vertical="center" wrapText="1"/>
    </xf>
    <xf numFmtId="0" fontId="0" fillId="5" borderId="49" xfId="0" applyFont="1" applyFill="1" applyBorder="1" applyAlignment="1">
      <alignment horizontal="center" vertical="center" wrapText="1"/>
    </xf>
    <xf numFmtId="0" fontId="1" fillId="5" borderId="29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9" fillId="5" borderId="50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9" fillId="5" borderId="5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47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8" fillId="5" borderId="37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8" fillId="0" borderId="40" xfId="0" applyFont="1" applyBorder="1" applyAlignment="1"/>
    <xf numFmtId="0" fontId="0" fillId="2" borderId="2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textRotation="90"/>
    </xf>
    <xf numFmtId="0" fontId="8" fillId="0" borderId="0" xfId="0" applyFont="1" applyAlignment="1"/>
    <xf numFmtId="0" fontId="0" fillId="2" borderId="3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textRotation="90"/>
    </xf>
    <xf numFmtId="0" fontId="10" fillId="5" borderId="32" xfId="0" applyFont="1" applyFill="1" applyBorder="1" applyAlignment="1">
      <alignment horizontal="center" vertical="center" textRotation="90"/>
    </xf>
    <xf numFmtId="0" fontId="8" fillId="2" borderId="45" xfId="0" applyFont="1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3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7" zoomScaleSheetLayoutView="70" workbookViewId="0">
      <selection activeCell="C24" sqref="C24"/>
    </sheetView>
  </sheetViews>
  <sheetFormatPr defaultRowHeight="12.75" x14ac:dyDescent="0.2"/>
  <cols>
    <col min="1" max="1" width="16" style="12" customWidth="1"/>
    <col min="2" max="2" width="37.140625" style="12" customWidth="1"/>
    <col min="3" max="3" width="42.140625" style="12" customWidth="1"/>
    <col min="4" max="4" width="9.140625" style="12"/>
    <col min="5" max="5" width="14.7109375" style="12" customWidth="1"/>
    <col min="6" max="6" width="17" style="12" customWidth="1"/>
    <col min="7" max="7" width="14.140625" style="12" customWidth="1"/>
    <col min="8" max="9" width="9.140625" hidden="1" customWidth="1"/>
    <col min="10" max="10" width="0.42578125" hidden="1" customWidth="1"/>
    <col min="11" max="11" width="8.5703125" hidden="1" customWidth="1"/>
    <col min="12" max="12" width="8" customWidth="1"/>
    <col min="13" max="13" width="10" customWidth="1"/>
    <col min="14" max="14" width="7.28515625" customWidth="1"/>
    <col min="15" max="15" width="8.140625" customWidth="1"/>
    <col min="16" max="17" width="27.28515625" customWidth="1"/>
    <col min="257" max="257" width="6.85546875" customWidth="1"/>
    <col min="258" max="258" width="37.140625" customWidth="1"/>
    <col min="259" max="259" width="41.7109375" customWidth="1"/>
    <col min="261" max="261" width="13.28515625" customWidth="1"/>
    <col min="262" max="262" width="12.85546875" customWidth="1"/>
    <col min="513" max="513" width="6.85546875" customWidth="1"/>
    <col min="514" max="514" width="37.140625" customWidth="1"/>
    <col min="515" max="515" width="41.7109375" customWidth="1"/>
    <col min="517" max="517" width="13.28515625" customWidth="1"/>
    <col min="518" max="518" width="12.85546875" customWidth="1"/>
    <col min="769" max="769" width="6.85546875" customWidth="1"/>
    <col min="770" max="770" width="37.140625" customWidth="1"/>
    <col min="771" max="771" width="41.7109375" customWidth="1"/>
    <col min="773" max="773" width="13.28515625" customWidth="1"/>
    <col min="774" max="774" width="12.85546875" customWidth="1"/>
    <col min="1025" max="1025" width="6.85546875" customWidth="1"/>
    <col min="1026" max="1026" width="37.140625" customWidth="1"/>
    <col min="1027" max="1027" width="41.7109375" customWidth="1"/>
    <col min="1029" max="1029" width="13.28515625" customWidth="1"/>
    <col min="1030" max="1030" width="12.85546875" customWidth="1"/>
    <col min="1281" max="1281" width="6.85546875" customWidth="1"/>
    <col min="1282" max="1282" width="37.140625" customWidth="1"/>
    <col min="1283" max="1283" width="41.7109375" customWidth="1"/>
    <col min="1285" max="1285" width="13.28515625" customWidth="1"/>
    <col min="1286" max="1286" width="12.85546875" customWidth="1"/>
    <col min="1537" max="1537" width="6.85546875" customWidth="1"/>
    <col min="1538" max="1538" width="37.140625" customWidth="1"/>
    <col min="1539" max="1539" width="41.7109375" customWidth="1"/>
    <col min="1541" max="1541" width="13.28515625" customWidth="1"/>
    <col min="1542" max="1542" width="12.85546875" customWidth="1"/>
    <col min="1793" max="1793" width="6.85546875" customWidth="1"/>
    <col min="1794" max="1794" width="37.140625" customWidth="1"/>
    <col min="1795" max="1795" width="41.7109375" customWidth="1"/>
    <col min="1797" max="1797" width="13.28515625" customWidth="1"/>
    <col min="1798" max="1798" width="12.85546875" customWidth="1"/>
    <col min="2049" max="2049" width="6.85546875" customWidth="1"/>
    <col min="2050" max="2050" width="37.140625" customWidth="1"/>
    <col min="2051" max="2051" width="41.7109375" customWidth="1"/>
    <col min="2053" max="2053" width="13.28515625" customWidth="1"/>
    <col min="2054" max="2054" width="12.85546875" customWidth="1"/>
    <col min="2305" max="2305" width="6.85546875" customWidth="1"/>
    <col min="2306" max="2306" width="37.140625" customWidth="1"/>
    <col min="2307" max="2307" width="41.7109375" customWidth="1"/>
    <col min="2309" max="2309" width="13.28515625" customWidth="1"/>
    <col min="2310" max="2310" width="12.85546875" customWidth="1"/>
    <col min="2561" max="2561" width="6.85546875" customWidth="1"/>
    <col min="2562" max="2562" width="37.140625" customWidth="1"/>
    <col min="2563" max="2563" width="41.7109375" customWidth="1"/>
    <col min="2565" max="2565" width="13.28515625" customWidth="1"/>
    <col min="2566" max="2566" width="12.85546875" customWidth="1"/>
    <col min="2817" max="2817" width="6.85546875" customWidth="1"/>
    <col min="2818" max="2818" width="37.140625" customWidth="1"/>
    <col min="2819" max="2819" width="41.7109375" customWidth="1"/>
    <col min="2821" max="2821" width="13.28515625" customWidth="1"/>
    <col min="2822" max="2822" width="12.85546875" customWidth="1"/>
    <col min="3073" max="3073" width="6.85546875" customWidth="1"/>
    <col min="3074" max="3074" width="37.140625" customWidth="1"/>
    <col min="3075" max="3075" width="41.7109375" customWidth="1"/>
    <col min="3077" max="3077" width="13.28515625" customWidth="1"/>
    <col min="3078" max="3078" width="12.85546875" customWidth="1"/>
    <col min="3329" max="3329" width="6.85546875" customWidth="1"/>
    <col min="3330" max="3330" width="37.140625" customWidth="1"/>
    <col min="3331" max="3331" width="41.7109375" customWidth="1"/>
    <col min="3333" max="3333" width="13.28515625" customWidth="1"/>
    <col min="3334" max="3334" width="12.85546875" customWidth="1"/>
    <col min="3585" max="3585" width="6.85546875" customWidth="1"/>
    <col min="3586" max="3586" width="37.140625" customWidth="1"/>
    <col min="3587" max="3587" width="41.7109375" customWidth="1"/>
    <col min="3589" max="3589" width="13.28515625" customWidth="1"/>
    <col min="3590" max="3590" width="12.85546875" customWidth="1"/>
    <col min="3841" max="3841" width="6.85546875" customWidth="1"/>
    <col min="3842" max="3842" width="37.140625" customWidth="1"/>
    <col min="3843" max="3843" width="41.7109375" customWidth="1"/>
    <col min="3845" max="3845" width="13.28515625" customWidth="1"/>
    <col min="3846" max="3846" width="12.85546875" customWidth="1"/>
    <col min="4097" max="4097" width="6.85546875" customWidth="1"/>
    <col min="4098" max="4098" width="37.140625" customWidth="1"/>
    <col min="4099" max="4099" width="41.7109375" customWidth="1"/>
    <col min="4101" max="4101" width="13.28515625" customWidth="1"/>
    <col min="4102" max="4102" width="12.85546875" customWidth="1"/>
    <col min="4353" max="4353" width="6.85546875" customWidth="1"/>
    <col min="4354" max="4354" width="37.140625" customWidth="1"/>
    <col min="4355" max="4355" width="41.7109375" customWidth="1"/>
    <col min="4357" max="4357" width="13.28515625" customWidth="1"/>
    <col min="4358" max="4358" width="12.85546875" customWidth="1"/>
    <col min="4609" max="4609" width="6.85546875" customWidth="1"/>
    <col min="4610" max="4610" width="37.140625" customWidth="1"/>
    <col min="4611" max="4611" width="41.7109375" customWidth="1"/>
    <col min="4613" max="4613" width="13.28515625" customWidth="1"/>
    <col min="4614" max="4614" width="12.85546875" customWidth="1"/>
    <col min="4865" max="4865" width="6.85546875" customWidth="1"/>
    <col min="4866" max="4866" width="37.140625" customWidth="1"/>
    <col min="4867" max="4867" width="41.7109375" customWidth="1"/>
    <col min="4869" max="4869" width="13.28515625" customWidth="1"/>
    <col min="4870" max="4870" width="12.85546875" customWidth="1"/>
    <col min="5121" max="5121" width="6.85546875" customWidth="1"/>
    <col min="5122" max="5122" width="37.140625" customWidth="1"/>
    <col min="5123" max="5123" width="41.7109375" customWidth="1"/>
    <col min="5125" max="5125" width="13.28515625" customWidth="1"/>
    <col min="5126" max="5126" width="12.85546875" customWidth="1"/>
    <col min="5377" max="5377" width="6.85546875" customWidth="1"/>
    <col min="5378" max="5378" width="37.140625" customWidth="1"/>
    <col min="5379" max="5379" width="41.7109375" customWidth="1"/>
    <col min="5381" max="5381" width="13.28515625" customWidth="1"/>
    <col min="5382" max="5382" width="12.85546875" customWidth="1"/>
    <col min="5633" max="5633" width="6.85546875" customWidth="1"/>
    <col min="5634" max="5634" width="37.140625" customWidth="1"/>
    <col min="5635" max="5635" width="41.7109375" customWidth="1"/>
    <col min="5637" max="5637" width="13.28515625" customWidth="1"/>
    <col min="5638" max="5638" width="12.85546875" customWidth="1"/>
    <col min="5889" max="5889" width="6.85546875" customWidth="1"/>
    <col min="5890" max="5890" width="37.140625" customWidth="1"/>
    <col min="5891" max="5891" width="41.7109375" customWidth="1"/>
    <col min="5893" max="5893" width="13.28515625" customWidth="1"/>
    <col min="5894" max="5894" width="12.85546875" customWidth="1"/>
    <col min="6145" max="6145" width="6.85546875" customWidth="1"/>
    <col min="6146" max="6146" width="37.140625" customWidth="1"/>
    <col min="6147" max="6147" width="41.7109375" customWidth="1"/>
    <col min="6149" max="6149" width="13.28515625" customWidth="1"/>
    <col min="6150" max="6150" width="12.85546875" customWidth="1"/>
    <col min="6401" max="6401" width="6.85546875" customWidth="1"/>
    <col min="6402" max="6402" width="37.140625" customWidth="1"/>
    <col min="6403" max="6403" width="41.7109375" customWidth="1"/>
    <col min="6405" max="6405" width="13.28515625" customWidth="1"/>
    <col min="6406" max="6406" width="12.85546875" customWidth="1"/>
    <col min="6657" max="6657" width="6.85546875" customWidth="1"/>
    <col min="6658" max="6658" width="37.140625" customWidth="1"/>
    <col min="6659" max="6659" width="41.7109375" customWidth="1"/>
    <col min="6661" max="6661" width="13.28515625" customWidth="1"/>
    <col min="6662" max="6662" width="12.85546875" customWidth="1"/>
    <col min="6913" max="6913" width="6.85546875" customWidth="1"/>
    <col min="6914" max="6914" width="37.140625" customWidth="1"/>
    <col min="6915" max="6915" width="41.7109375" customWidth="1"/>
    <col min="6917" max="6917" width="13.28515625" customWidth="1"/>
    <col min="6918" max="6918" width="12.85546875" customWidth="1"/>
    <col min="7169" max="7169" width="6.85546875" customWidth="1"/>
    <col min="7170" max="7170" width="37.140625" customWidth="1"/>
    <col min="7171" max="7171" width="41.7109375" customWidth="1"/>
    <col min="7173" max="7173" width="13.28515625" customWidth="1"/>
    <col min="7174" max="7174" width="12.85546875" customWidth="1"/>
    <col min="7425" max="7425" width="6.85546875" customWidth="1"/>
    <col min="7426" max="7426" width="37.140625" customWidth="1"/>
    <col min="7427" max="7427" width="41.7109375" customWidth="1"/>
    <col min="7429" max="7429" width="13.28515625" customWidth="1"/>
    <col min="7430" max="7430" width="12.85546875" customWidth="1"/>
    <col min="7681" max="7681" width="6.85546875" customWidth="1"/>
    <col min="7682" max="7682" width="37.140625" customWidth="1"/>
    <col min="7683" max="7683" width="41.7109375" customWidth="1"/>
    <col min="7685" max="7685" width="13.28515625" customWidth="1"/>
    <col min="7686" max="7686" width="12.85546875" customWidth="1"/>
    <col min="7937" max="7937" width="6.85546875" customWidth="1"/>
    <col min="7938" max="7938" width="37.140625" customWidth="1"/>
    <col min="7939" max="7939" width="41.7109375" customWidth="1"/>
    <col min="7941" max="7941" width="13.28515625" customWidth="1"/>
    <col min="7942" max="7942" width="12.85546875" customWidth="1"/>
    <col min="8193" max="8193" width="6.85546875" customWidth="1"/>
    <col min="8194" max="8194" width="37.140625" customWidth="1"/>
    <col min="8195" max="8195" width="41.7109375" customWidth="1"/>
    <col min="8197" max="8197" width="13.28515625" customWidth="1"/>
    <col min="8198" max="8198" width="12.85546875" customWidth="1"/>
    <col min="8449" max="8449" width="6.85546875" customWidth="1"/>
    <col min="8450" max="8450" width="37.140625" customWidth="1"/>
    <col min="8451" max="8451" width="41.7109375" customWidth="1"/>
    <col min="8453" max="8453" width="13.28515625" customWidth="1"/>
    <col min="8454" max="8454" width="12.85546875" customWidth="1"/>
    <col min="8705" max="8705" width="6.85546875" customWidth="1"/>
    <col min="8706" max="8706" width="37.140625" customWidth="1"/>
    <col min="8707" max="8707" width="41.7109375" customWidth="1"/>
    <col min="8709" max="8709" width="13.28515625" customWidth="1"/>
    <col min="8710" max="8710" width="12.85546875" customWidth="1"/>
    <col min="8961" max="8961" width="6.85546875" customWidth="1"/>
    <col min="8962" max="8962" width="37.140625" customWidth="1"/>
    <col min="8963" max="8963" width="41.7109375" customWidth="1"/>
    <col min="8965" max="8965" width="13.28515625" customWidth="1"/>
    <col min="8966" max="8966" width="12.85546875" customWidth="1"/>
    <col min="9217" max="9217" width="6.85546875" customWidth="1"/>
    <col min="9218" max="9218" width="37.140625" customWidth="1"/>
    <col min="9219" max="9219" width="41.7109375" customWidth="1"/>
    <col min="9221" max="9221" width="13.28515625" customWidth="1"/>
    <col min="9222" max="9222" width="12.85546875" customWidth="1"/>
    <col min="9473" max="9473" width="6.85546875" customWidth="1"/>
    <col min="9474" max="9474" width="37.140625" customWidth="1"/>
    <col min="9475" max="9475" width="41.7109375" customWidth="1"/>
    <col min="9477" max="9477" width="13.28515625" customWidth="1"/>
    <col min="9478" max="9478" width="12.85546875" customWidth="1"/>
    <col min="9729" max="9729" width="6.85546875" customWidth="1"/>
    <col min="9730" max="9730" width="37.140625" customWidth="1"/>
    <col min="9731" max="9731" width="41.7109375" customWidth="1"/>
    <col min="9733" max="9733" width="13.28515625" customWidth="1"/>
    <col min="9734" max="9734" width="12.85546875" customWidth="1"/>
    <col min="9985" max="9985" width="6.85546875" customWidth="1"/>
    <col min="9986" max="9986" width="37.140625" customWidth="1"/>
    <col min="9987" max="9987" width="41.7109375" customWidth="1"/>
    <col min="9989" max="9989" width="13.28515625" customWidth="1"/>
    <col min="9990" max="9990" width="12.85546875" customWidth="1"/>
    <col min="10241" max="10241" width="6.85546875" customWidth="1"/>
    <col min="10242" max="10242" width="37.140625" customWidth="1"/>
    <col min="10243" max="10243" width="41.7109375" customWidth="1"/>
    <col min="10245" max="10245" width="13.28515625" customWidth="1"/>
    <col min="10246" max="10246" width="12.85546875" customWidth="1"/>
    <col min="10497" max="10497" width="6.85546875" customWidth="1"/>
    <col min="10498" max="10498" width="37.140625" customWidth="1"/>
    <col min="10499" max="10499" width="41.7109375" customWidth="1"/>
    <col min="10501" max="10501" width="13.28515625" customWidth="1"/>
    <col min="10502" max="10502" width="12.85546875" customWidth="1"/>
    <col min="10753" max="10753" width="6.85546875" customWidth="1"/>
    <col min="10754" max="10754" width="37.140625" customWidth="1"/>
    <col min="10755" max="10755" width="41.7109375" customWidth="1"/>
    <col min="10757" max="10757" width="13.28515625" customWidth="1"/>
    <col min="10758" max="10758" width="12.85546875" customWidth="1"/>
    <col min="11009" max="11009" width="6.85546875" customWidth="1"/>
    <col min="11010" max="11010" width="37.140625" customWidth="1"/>
    <col min="11011" max="11011" width="41.7109375" customWidth="1"/>
    <col min="11013" max="11013" width="13.28515625" customWidth="1"/>
    <col min="11014" max="11014" width="12.85546875" customWidth="1"/>
    <col min="11265" max="11265" width="6.85546875" customWidth="1"/>
    <col min="11266" max="11266" width="37.140625" customWidth="1"/>
    <col min="11267" max="11267" width="41.7109375" customWidth="1"/>
    <col min="11269" max="11269" width="13.28515625" customWidth="1"/>
    <col min="11270" max="11270" width="12.85546875" customWidth="1"/>
    <col min="11521" max="11521" width="6.85546875" customWidth="1"/>
    <col min="11522" max="11522" width="37.140625" customWidth="1"/>
    <col min="11523" max="11523" width="41.7109375" customWidth="1"/>
    <col min="11525" max="11525" width="13.28515625" customWidth="1"/>
    <col min="11526" max="11526" width="12.85546875" customWidth="1"/>
    <col min="11777" max="11777" width="6.85546875" customWidth="1"/>
    <col min="11778" max="11778" width="37.140625" customWidth="1"/>
    <col min="11779" max="11779" width="41.7109375" customWidth="1"/>
    <col min="11781" max="11781" width="13.28515625" customWidth="1"/>
    <col min="11782" max="11782" width="12.85546875" customWidth="1"/>
    <col min="12033" max="12033" width="6.85546875" customWidth="1"/>
    <col min="12034" max="12034" width="37.140625" customWidth="1"/>
    <col min="12035" max="12035" width="41.7109375" customWidth="1"/>
    <col min="12037" max="12037" width="13.28515625" customWidth="1"/>
    <col min="12038" max="12038" width="12.85546875" customWidth="1"/>
    <col min="12289" max="12289" width="6.85546875" customWidth="1"/>
    <col min="12290" max="12290" width="37.140625" customWidth="1"/>
    <col min="12291" max="12291" width="41.7109375" customWidth="1"/>
    <col min="12293" max="12293" width="13.28515625" customWidth="1"/>
    <col min="12294" max="12294" width="12.85546875" customWidth="1"/>
    <col min="12545" max="12545" width="6.85546875" customWidth="1"/>
    <col min="12546" max="12546" width="37.140625" customWidth="1"/>
    <col min="12547" max="12547" width="41.7109375" customWidth="1"/>
    <col min="12549" max="12549" width="13.28515625" customWidth="1"/>
    <col min="12550" max="12550" width="12.85546875" customWidth="1"/>
    <col min="12801" max="12801" width="6.85546875" customWidth="1"/>
    <col min="12802" max="12802" width="37.140625" customWidth="1"/>
    <col min="12803" max="12803" width="41.7109375" customWidth="1"/>
    <col min="12805" max="12805" width="13.28515625" customWidth="1"/>
    <col min="12806" max="12806" width="12.85546875" customWidth="1"/>
    <col min="13057" max="13057" width="6.85546875" customWidth="1"/>
    <col min="13058" max="13058" width="37.140625" customWidth="1"/>
    <col min="13059" max="13059" width="41.7109375" customWidth="1"/>
    <col min="13061" max="13061" width="13.28515625" customWidth="1"/>
    <col min="13062" max="13062" width="12.85546875" customWidth="1"/>
    <col min="13313" max="13313" width="6.85546875" customWidth="1"/>
    <col min="13314" max="13314" width="37.140625" customWidth="1"/>
    <col min="13315" max="13315" width="41.7109375" customWidth="1"/>
    <col min="13317" max="13317" width="13.28515625" customWidth="1"/>
    <col min="13318" max="13318" width="12.85546875" customWidth="1"/>
    <col min="13569" max="13569" width="6.85546875" customWidth="1"/>
    <col min="13570" max="13570" width="37.140625" customWidth="1"/>
    <col min="13571" max="13571" width="41.7109375" customWidth="1"/>
    <col min="13573" max="13573" width="13.28515625" customWidth="1"/>
    <col min="13574" max="13574" width="12.85546875" customWidth="1"/>
    <col min="13825" max="13825" width="6.85546875" customWidth="1"/>
    <col min="13826" max="13826" width="37.140625" customWidth="1"/>
    <col min="13827" max="13827" width="41.7109375" customWidth="1"/>
    <col min="13829" max="13829" width="13.28515625" customWidth="1"/>
    <col min="13830" max="13830" width="12.85546875" customWidth="1"/>
    <col min="14081" max="14081" width="6.85546875" customWidth="1"/>
    <col min="14082" max="14082" width="37.140625" customWidth="1"/>
    <col min="14083" max="14083" width="41.7109375" customWidth="1"/>
    <col min="14085" max="14085" width="13.28515625" customWidth="1"/>
    <col min="14086" max="14086" width="12.85546875" customWidth="1"/>
    <col min="14337" max="14337" width="6.85546875" customWidth="1"/>
    <col min="14338" max="14338" width="37.140625" customWidth="1"/>
    <col min="14339" max="14339" width="41.7109375" customWidth="1"/>
    <col min="14341" max="14341" width="13.28515625" customWidth="1"/>
    <col min="14342" max="14342" width="12.85546875" customWidth="1"/>
    <col min="14593" max="14593" width="6.85546875" customWidth="1"/>
    <col min="14594" max="14594" width="37.140625" customWidth="1"/>
    <col min="14595" max="14595" width="41.7109375" customWidth="1"/>
    <col min="14597" max="14597" width="13.28515625" customWidth="1"/>
    <col min="14598" max="14598" width="12.85546875" customWidth="1"/>
    <col min="14849" max="14849" width="6.85546875" customWidth="1"/>
    <col min="14850" max="14850" width="37.140625" customWidth="1"/>
    <col min="14851" max="14851" width="41.7109375" customWidth="1"/>
    <col min="14853" max="14853" width="13.28515625" customWidth="1"/>
    <col min="14854" max="14854" width="12.85546875" customWidth="1"/>
    <col min="15105" max="15105" width="6.85546875" customWidth="1"/>
    <col min="15106" max="15106" width="37.140625" customWidth="1"/>
    <col min="15107" max="15107" width="41.7109375" customWidth="1"/>
    <col min="15109" max="15109" width="13.28515625" customWidth="1"/>
    <col min="15110" max="15110" width="12.85546875" customWidth="1"/>
    <col min="15361" max="15361" width="6.85546875" customWidth="1"/>
    <col min="15362" max="15362" width="37.140625" customWidth="1"/>
    <col min="15363" max="15363" width="41.7109375" customWidth="1"/>
    <col min="15365" max="15365" width="13.28515625" customWidth="1"/>
    <col min="15366" max="15366" width="12.85546875" customWidth="1"/>
    <col min="15617" max="15617" width="6.85546875" customWidth="1"/>
    <col min="15618" max="15618" width="37.140625" customWidth="1"/>
    <col min="15619" max="15619" width="41.7109375" customWidth="1"/>
    <col min="15621" max="15621" width="13.28515625" customWidth="1"/>
    <col min="15622" max="15622" width="12.85546875" customWidth="1"/>
    <col min="15873" max="15873" width="6.85546875" customWidth="1"/>
    <col min="15874" max="15874" width="37.140625" customWidth="1"/>
    <col min="15875" max="15875" width="41.7109375" customWidth="1"/>
    <col min="15877" max="15877" width="13.28515625" customWidth="1"/>
    <col min="15878" max="15878" width="12.85546875" customWidth="1"/>
    <col min="16129" max="16129" width="6.85546875" customWidth="1"/>
    <col min="16130" max="16130" width="37.140625" customWidth="1"/>
    <col min="16131" max="16131" width="41.7109375" customWidth="1"/>
    <col min="16133" max="16133" width="13.28515625" customWidth="1"/>
    <col min="16134" max="16134" width="12.85546875" customWidth="1"/>
  </cols>
  <sheetData>
    <row r="1" spans="1:14" ht="15.75" hidden="1" x14ac:dyDescent="0.25">
      <c r="E1" s="44" t="s">
        <v>118</v>
      </c>
      <c r="F1" s="44"/>
      <c r="G1" s="44"/>
      <c r="H1" s="44"/>
    </row>
    <row r="2" spans="1:14" ht="15.75" hidden="1" x14ac:dyDescent="0.25">
      <c r="E2" s="44" t="s">
        <v>119</v>
      </c>
      <c r="F2" s="44"/>
      <c r="G2" s="44"/>
      <c r="H2" s="44"/>
    </row>
    <row r="3" spans="1:14" ht="15.75" hidden="1" x14ac:dyDescent="0.25">
      <c r="E3" s="44" t="s">
        <v>120</v>
      </c>
      <c r="F3" s="44"/>
      <c r="G3" s="44"/>
      <c r="H3" s="44"/>
    </row>
    <row r="4" spans="1:14" ht="15.75" hidden="1" x14ac:dyDescent="0.25">
      <c r="E4" s="44"/>
      <c r="F4" s="44"/>
      <c r="G4" s="44"/>
      <c r="H4" s="44"/>
    </row>
    <row r="5" spans="1:14" ht="15.75" hidden="1" x14ac:dyDescent="0.25">
      <c r="E5" s="44"/>
      <c r="F5" s="44"/>
      <c r="G5" s="44"/>
      <c r="H5" s="44"/>
    </row>
    <row r="6" spans="1:14" ht="15.75" hidden="1" x14ac:dyDescent="0.25">
      <c r="E6" s="44" t="s">
        <v>179</v>
      </c>
      <c r="F6" s="44"/>
      <c r="G6" s="44"/>
      <c r="H6" s="44"/>
    </row>
    <row r="7" spans="1:14" ht="26.25" customHeight="1" x14ac:dyDescent="0.2">
      <c r="A7" s="283" t="s">
        <v>123</v>
      </c>
      <c r="B7" s="284"/>
      <c r="C7" s="284"/>
      <c r="D7" s="284"/>
      <c r="E7" s="284"/>
      <c r="F7" s="284"/>
      <c r="G7" s="284"/>
      <c r="H7" s="45"/>
    </row>
    <row r="8" spans="1:14" ht="27.75" customHeight="1" thickBot="1" x14ac:dyDescent="0.25">
      <c r="A8" s="285"/>
      <c r="B8" s="285"/>
      <c r="C8" s="285"/>
      <c r="D8" s="285"/>
      <c r="E8" s="285"/>
      <c r="F8" s="285"/>
      <c r="G8" s="285"/>
    </row>
    <row r="9" spans="1:14" ht="35.25" customHeight="1" thickBot="1" x14ac:dyDescent="0.25">
      <c r="A9" s="21" t="s">
        <v>0</v>
      </c>
      <c r="B9" s="22" t="s">
        <v>1</v>
      </c>
      <c r="C9" s="22" t="s">
        <v>4</v>
      </c>
      <c r="D9" s="22" t="s">
        <v>2</v>
      </c>
      <c r="E9" s="22" t="s">
        <v>3</v>
      </c>
      <c r="F9" s="22" t="s">
        <v>6</v>
      </c>
      <c r="G9" s="23" t="s">
        <v>5</v>
      </c>
      <c r="H9" s="1"/>
      <c r="I9" s="1"/>
      <c r="J9" s="1"/>
      <c r="K9" s="1"/>
    </row>
    <row r="10" spans="1:14" ht="33.75" customHeight="1" x14ac:dyDescent="0.2">
      <c r="A10" s="186">
        <v>20000</v>
      </c>
      <c r="B10" s="31" t="s">
        <v>145</v>
      </c>
      <c r="C10" s="31" t="s">
        <v>144</v>
      </c>
      <c r="D10" s="31">
        <v>1.2</v>
      </c>
      <c r="E10" s="31">
        <f>D10*$J$40</f>
        <v>1020</v>
      </c>
      <c r="F10" s="31">
        <f>C30+C40+C34*9</f>
        <v>2677.1400000000003</v>
      </c>
      <c r="G10" s="34">
        <f t="shared" ref="G10:G16" si="0">E10+F10</f>
        <v>3697.1400000000003</v>
      </c>
      <c r="H10" s="1"/>
      <c r="I10" s="1"/>
      <c r="J10" s="1"/>
      <c r="K10" s="1"/>
    </row>
    <row r="11" spans="1:14" ht="38.25" x14ac:dyDescent="0.2">
      <c r="A11" s="286">
        <v>40000</v>
      </c>
      <c r="B11" s="288" t="s">
        <v>53</v>
      </c>
      <c r="C11" s="4" t="s">
        <v>146</v>
      </c>
      <c r="D11" s="4">
        <v>1.9</v>
      </c>
      <c r="E11" s="4">
        <f t="shared" ref="E11:E16" si="1">D11*$J$40</f>
        <v>1615</v>
      </c>
      <c r="F11" s="4">
        <f>C30+C31+C32+C33+C34*9+C40+C46+C47</f>
        <v>7566.1999999999989</v>
      </c>
      <c r="G11" s="35">
        <f>E11+F11</f>
        <v>9181.1999999999989</v>
      </c>
      <c r="H11" s="1"/>
      <c r="I11" s="1"/>
      <c r="J11" s="1"/>
      <c r="K11" s="1"/>
    </row>
    <row r="12" spans="1:14" ht="25.5" customHeight="1" x14ac:dyDescent="0.2">
      <c r="A12" s="287"/>
      <c r="B12" s="289"/>
      <c r="C12" s="115" t="s">
        <v>319</v>
      </c>
      <c r="D12" s="4">
        <v>3.4</v>
      </c>
      <c r="E12" s="4">
        <f t="shared" si="1"/>
        <v>2890</v>
      </c>
      <c r="F12" s="4">
        <f>C30+C31+C32+C34*9+C37*8+C40+C42+C43+C44+C46+C47</f>
        <v>14445.9</v>
      </c>
      <c r="G12" s="35">
        <f t="shared" si="0"/>
        <v>17335.900000000001</v>
      </c>
      <c r="H12" s="1"/>
      <c r="I12" s="1"/>
      <c r="J12" s="1"/>
      <c r="K12" s="1"/>
    </row>
    <row r="13" spans="1:14" ht="25.5" x14ac:dyDescent="0.2">
      <c r="A13" s="187">
        <v>60000</v>
      </c>
      <c r="B13" s="24" t="s">
        <v>145</v>
      </c>
      <c r="C13" s="24" t="s">
        <v>144</v>
      </c>
      <c r="D13" s="24">
        <v>1.2</v>
      </c>
      <c r="E13" s="24">
        <f t="shared" si="1"/>
        <v>1020</v>
      </c>
      <c r="F13" s="24">
        <f>C30+C34*9+C40</f>
        <v>2677.1400000000003</v>
      </c>
      <c r="G13" s="35">
        <f t="shared" si="0"/>
        <v>3697.1400000000003</v>
      </c>
      <c r="H13" s="1"/>
      <c r="I13" s="1"/>
      <c r="J13" s="1"/>
      <c r="K13" s="1"/>
    </row>
    <row r="14" spans="1:14" ht="38.25" customHeight="1" x14ac:dyDescent="0.2">
      <c r="A14" s="187">
        <v>80000</v>
      </c>
      <c r="B14" s="15" t="s">
        <v>53</v>
      </c>
      <c r="C14" s="4" t="s">
        <v>146</v>
      </c>
      <c r="D14" s="4">
        <v>1.9</v>
      </c>
      <c r="E14" s="4">
        <f t="shared" si="1"/>
        <v>1615</v>
      </c>
      <c r="F14" s="4">
        <f>F11</f>
        <v>7566.1999999999989</v>
      </c>
      <c r="G14" s="35">
        <f t="shared" si="0"/>
        <v>9181.1999999999989</v>
      </c>
      <c r="H14" s="1"/>
      <c r="I14" s="1"/>
      <c r="J14" s="1"/>
      <c r="K14" s="1"/>
      <c r="N14" s="3"/>
    </row>
    <row r="15" spans="1:14" ht="27" customHeight="1" x14ac:dyDescent="0.2">
      <c r="A15" s="187">
        <v>100000</v>
      </c>
      <c r="B15" s="24" t="s">
        <v>145</v>
      </c>
      <c r="C15" s="24" t="s">
        <v>144</v>
      </c>
      <c r="D15" s="24">
        <v>1.2</v>
      </c>
      <c r="E15" s="24">
        <f t="shared" si="1"/>
        <v>1020</v>
      </c>
      <c r="F15" s="24">
        <f>C30+C34*9+C40</f>
        <v>2677.1400000000003</v>
      </c>
      <c r="G15" s="35">
        <f t="shared" si="0"/>
        <v>3697.1400000000003</v>
      </c>
      <c r="H15" s="1"/>
      <c r="I15" s="1"/>
      <c r="J15" s="1"/>
      <c r="K15" s="1"/>
    </row>
    <row r="16" spans="1:14" ht="38.25" x14ac:dyDescent="0.2">
      <c r="A16" s="187">
        <v>120000</v>
      </c>
      <c r="B16" s="11" t="s">
        <v>53</v>
      </c>
      <c r="C16" s="4" t="s">
        <v>146</v>
      </c>
      <c r="D16" s="4">
        <v>1.9</v>
      </c>
      <c r="E16" s="4">
        <f t="shared" si="1"/>
        <v>1615</v>
      </c>
      <c r="F16" s="11">
        <f>F11</f>
        <v>7566.1999999999989</v>
      </c>
      <c r="G16" s="35">
        <f t="shared" si="0"/>
        <v>9181.1999999999989</v>
      </c>
      <c r="H16" s="1"/>
      <c r="I16" s="1"/>
      <c r="J16" s="1"/>
      <c r="K16" s="1"/>
    </row>
    <row r="17" spans="1:11" ht="15.75" x14ac:dyDescent="0.2">
      <c r="A17" s="39" t="s">
        <v>55</v>
      </c>
      <c r="B17" s="24" t="s">
        <v>56</v>
      </c>
      <c r="C17" s="24" t="s">
        <v>57</v>
      </c>
      <c r="D17" s="24" t="s">
        <v>58</v>
      </c>
      <c r="E17" s="24" t="s">
        <v>59</v>
      </c>
      <c r="F17" s="24" t="s">
        <v>55</v>
      </c>
      <c r="G17" s="35" t="s">
        <v>60</v>
      </c>
      <c r="H17" s="1"/>
      <c r="I17" s="1"/>
      <c r="J17" s="1"/>
      <c r="K17" s="1"/>
    </row>
    <row r="18" spans="1:11" ht="38.25" x14ac:dyDescent="0.2">
      <c r="A18" s="286">
        <v>160000</v>
      </c>
      <c r="B18" s="288" t="s">
        <v>53</v>
      </c>
      <c r="C18" s="4" t="s">
        <v>146</v>
      </c>
      <c r="D18" s="4">
        <v>1.9</v>
      </c>
      <c r="E18" s="4">
        <f t="shared" ref="E18:E23" si="2">D18*$J$40</f>
        <v>1615</v>
      </c>
      <c r="F18" s="4">
        <f>F11</f>
        <v>7566.1999999999989</v>
      </c>
      <c r="G18" s="35">
        <f t="shared" ref="G18:G27" si="3">E18+F18</f>
        <v>9181.1999999999989</v>
      </c>
      <c r="H18" s="1"/>
      <c r="I18" s="1"/>
      <c r="J18" s="1"/>
      <c r="K18" s="1"/>
    </row>
    <row r="19" spans="1:11" ht="15.75" x14ac:dyDescent="0.2">
      <c r="A19" s="287"/>
      <c r="B19" s="289"/>
      <c r="C19" s="4" t="s">
        <v>320</v>
      </c>
      <c r="D19" s="4">
        <v>3.4</v>
      </c>
      <c r="E19" s="4">
        <f t="shared" si="2"/>
        <v>2890</v>
      </c>
      <c r="F19" s="4">
        <f>F12</f>
        <v>14445.9</v>
      </c>
      <c r="G19" s="35">
        <f t="shared" si="3"/>
        <v>17335.900000000001</v>
      </c>
      <c r="H19" s="1"/>
      <c r="I19" s="1"/>
      <c r="J19" s="1"/>
      <c r="K19" s="1"/>
    </row>
    <row r="20" spans="1:11" ht="15.75" x14ac:dyDescent="0.2">
      <c r="A20" s="188">
        <v>120000</v>
      </c>
      <c r="B20" s="25" t="s">
        <v>61</v>
      </c>
      <c r="C20" s="140" t="s">
        <v>183</v>
      </c>
      <c r="D20" s="25">
        <v>1.5</v>
      </c>
      <c r="E20" s="24">
        <f t="shared" si="2"/>
        <v>1275</v>
      </c>
      <c r="F20" s="24">
        <f>C37*8+C42+C43+C44</f>
        <v>7821.7200000000012</v>
      </c>
      <c r="G20" s="35">
        <f t="shared" si="3"/>
        <v>9096.7200000000012</v>
      </c>
      <c r="H20" s="1"/>
      <c r="I20" s="1"/>
      <c r="J20" s="1"/>
      <c r="K20" s="1"/>
    </row>
    <row r="21" spans="1:11" ht="15.75" x14ac:dyDescent="0.2">
      <c r="A21" s="107" t="s">
        <v>225</v>
      </c>
      <c r="B21" s="11" t="s">
        <v>63</v>
      </c>
      <c r="C21" s="139" t="s">
        <v>184</v>
      </c>
      <c r="D21" s="11">
        <v>0.2</v>
      </c>
      <c r="E21" s="4">
        <f t="shared" si="2"/>
        <v>170</v>
      </c>
      <c r="F21" s="11">
        <f>C36*2</f>
        <v>2284.44</v>
      </c>
      <c r="G21" s="35">
        <f t="shared" si="3"/>
        <v>2454.44</v>
      </c>
      <c r="H21" s="1"/>
      <c r="I21" s="1"/>
      <c r="J21" s="1"/>
      <c r="K21" s="1"/>
    </row>
    <row r="22" spans="1:11" ht="15.75" x14ac:dyDescent="0.2">
      <c r="A22" s="39" t="s">
        <v>225</v>
      </c>
      <c r="B22" s="25" t="s">
        <v>64</v>
      </c>
      <c r="C22" s="140" t="s">
        <v>185</v>
      </c>
      <c r="D22" s="25">
        <v>0.2</v>
      </c>
      <c r="E22" s="24">
        <f t="shared" si="2"/>
        <v>170</v>
      </c>
      <c r="F22" s="24">
        <f>2*C45</f>
        <v>4092.84</v>
      </c>
      <c r="G22" s="35">
        <f t="shared" si="3"/>
        <v>4262.84</v>
      </c>
      <c r="H22" s="1"/>
      <c r="I22" s="1"/>
      <c r="J22" s="1"/>
      <c r="K22" s="1"/>
    </row>
    <row r="23" spans="1:11" ht="15.75" x14ac:dyDescent="0.2">
      <c r="A23" s="39" t="s">
        <v>65</v>
      </c>
      <c r="B23" s="11" t="s">
        <v>66</v>
      </c>
      <c r="C23" s="11" t="s">
        <v>7</v>
      </c>
      <c r="D23" s="11">
        <v>0.8</v>
      </c>
      <c r="E23" s="4">
        <f t="shared" si="2"/>
        <v>680</v>
      </c>
      <c r="F23" s="11">
        <f>C38</f>
        <v>625.91999999999996</v>
      </c>
      <c r="G23" s="35">
        <f>F23+E23</f>
        <v>1305.92</v>
      </c>
      <c r="H23" s="1"/>
      <c r="I23" s="1"/>
      <c r="J23" s="1"/>
      <c r="K23" s="1"/>
    </row>
    <row r="24" spans="1:11" ht="15.75" x14ac:dyDescent="0.2">
      <c r="A24" s="39" t="s">
        <v>67</v>
      </c>
      <c r="B24" s="24" t="s">
        <v>143</v>
      </c>
      <c r="C24" s="239" t="s">
        <v>385</v>
      </c>
      <c r="D24" s="25">
        <v>0.8</v>
      </c>
      <c r="E24" s="24">
        <f>J40*D24</f>
        <v>680</v>
      </c>
      <c r="F24" s="25">
        <f>C41*5+C39*3</f>
        <v>1389.7500000000002</v>
      </c>
      <c r="G24" s="35">
        <f t="shared" si="3"/>
        <v>2069.75</v>
      </c>
      <c r="H24" s="1"/>
      <c r="I24" s="1"/>
      <c r="J24" s="1"/>
      <c r="K24" s="1"/>
    </row>
    <row r="25" spans="1:11" ht="52.5" customHeight="1" x14ac:dyDescent="0.2">
      <c r="A25" s="113"/>
      <c r="B25" s="290" t="s">
        <v>178</v>
      </c>
      <c r="C25" s="291"/>
      <c r="D25" s="291"/>
      <c r="E25" s="291"/>
      <c r="F25" s="292"/>
      <c r="G25" s="114"/>
      <c r="H25" s="1"/>
      <c r="I25" s="1"/>
      <c r="J25" s="1"/>
      <c r="K25" s="1"/>
    </row>
    <row r="26" spans="1:11" ht="30.75" customHeight="1" x14ac:dyDescent="0.2">
      <c r="A26" s="187">
        <v>20000</v>
      </c>
      <c r="B26" s="24" t="s">
        <v>145</v>
      </c>
      <c r="C26" s="24" t="s">
        <v>147</v>
      </c>
      <c r="D26" s="24">
        <v>1.2</v>
      </c>
      <c r="E26" s="24">
        <f>J40*D26</f>
        <v>1020</v>
      </c>
      <c r="F26" s="24">
        <f>C30+C35*9+C40</f>
        <v>3414.7799999999997</v>
      </c>
      <c r="G26" s="35">
        <f t="shared" si="3"/>
        <v>4434.78</v>
      </c>
      <c r="H26" s="1"/>
      <c r="I26" s="1"/>
      <c r="J26" s="1"/>
      <c r="K26" s="1"/>
    </row>
    <row r="27" spans="1:11" ht="39" thickBot="1" x14ac:dyDescent="0.25">
      <c r="A27" s="189">
        <v>40000</v>
      </c>
      <c r="B27" s="32" t="s">
        <v>53</v>
      </c>
      <c r="C27" s="33" t="s">
        <v>177</v>
      </c>
      <c r="D27" s="33">
        <v>1.9</v>
      </c>
      <c r="E27" s="33">
        <f>J40*D27</f>
        <v>1615</v>
      </c>
      <c r="F27" s="32">
        <f>C30+C31+C32+C35*9+C40+C46+C47+C33</f>
        <v>8303.84</v>
      </c>
      <c r="G27" s="37">
        <f t="shared" si="3"/>
        <v>9918.84</v>
      </c>
      <c r="H27" s="1"/>
      <c r="I27" s="1"/>
      <c r="J27" s="1"/>
      <c r="K27" s="1"/>
    </row>
    <row r="28" spans="1:11" ht="13.5" thickBot="1" x14ac:dyDescent="0.25">
      <c r="A28" s="16"/>
      <c r="B28" s="282" t="s">
        <v>180</v>
      </c>
      <c r="C28" s="282"/>
      <c r="D28" s="17"/>
      <c r="E28" s="17"/>
      <c r="F28" s="17"/>
      <c r="G28" s="17"/>
      <c r="H28" s="1"/>
      <c r="I28" s="1"/>
      <c r="J28" s="1"/>
      <c r="K28" s="1"/>
    </row>
    <row r="29" spans="1:11" ht="18.75" thickBot="1" x14ac:dyDescent="0.3">
      <c r="A29" s="16"/>
      <c r="B29" s="128" t="s">
        <v>49</v>
      </c>
      <c r="C29" s="124" t="s">
        <v>121</v>
      </c>
      <c r="D29" s="17"/>
      <c r="E29" s="17"/>
      <c r="F29" s="17"/>
      <c r="G29" s="17"/>
      <c r="H29" s="1"/>
      <c r="I29" s="1"/>
      <c r="J29" s="1"/>
      <c r="K29" s="1"/>
    </row>
    <row r="30" spans="1:11" ht="14.25" x14ac:dyDescent="0.2">
      <c r="A30" s="16"/>
      <c r="B30" s="129" t="s">
        <v>427</v>
      </c>
      <c r="C30" s="125">
        <v>722.16</v>
      </c>
      <c r="D30" s="17"/>
      <c r="E30" s="17"/>
      <c r="F30" s="17"/>
      <c r="G30" s="17"/>
      <c r="H30" s="1"/>
      <c r="I30" s="1"/>
      <c r="J30" s="1"/>
      <c r="K30" s="1"/>
    </row>
    <row r="31" spans="1:11" ht="14.25" x14ac:dyDescent="0.2">
      <c r="A31" s="16"/>
      <c r="B31" s="130" t="s">
        <v>428</v>
      </c>
      <c r="C31" s="126">
        <v>2978.82</v>
      </c>
      <c r="D31" s="17"/>
      <c r="E31" s="17"/>
      <c r="F31" s="17"/>
      <c r="G31" s="17"/>
      <c r="H31" s="1"/>
      <c r="I31" s="1"/>
      <c r="J31" s="1"/>
      <c r="K31" s="1"/>
    </row>
    <row r="32" spans="1:11" ht="14.25" x14ac:dyDescent="0.2">
      <c r="A32" s="16"/>
      <c r="B32" s="130" t="s">
        <v>429</v>
      </c>
      <c r="C32" s="126">
        <v>769.14</v>
      </c>
      <c r="D32" s="17"/>
      <c r="E32" s="17"/>
      <c r="F32" s="17"/>
      <c r="G32" s="17"/>
      <c r="H32" s="1"/>
      <c r="I32" s="1"/>
      <c r="J32" s="1"/>
      <c r="K32" s="1"/>
    </row>
    <row r="33" spans="1:11" ht="14.25" x14ac:dyDescent="0.2">
      <c r="A33" s="16"/>
      <c r="B33" s="130" t="s">
        <v>430</v>
      </c>
      <c r="C33" s="126">
        <v>942.02</v>
      </c>
      <c r="D33" s="17"/>
      <c r="E33" s="17"/>
      <c r="F33" s="17"/>
      <c r="G33" s="17"/>
      <c r="H33" s="1"/>
      <c r="I33" s="1"/>
      <c r="J33" s="1"/>
      <c r="K33" s="1"/>
    </row>
    <row r="34" spans="1:11" ht="14.25" x14ac:dyDescent="0.2">
      <c r="A34" s="16"/>
      <c r="B34" s="120" t="s">
        <v>431</v>
      </c>
      <c r="C34" s="126">
        <v>213.24</v>
      </c>
      <c r="D34" s="17"/>
      <c r="E34" s="17"/>
      <c r="F34" s="17"/>
      <c r="G34" s="17"/>
      <c r="H34" s="1"/>
      <c r="I34" s="1"/>
      <c r="J34" s="1"/>
      <c r="K34" s="1"/>
    </row>
    <row r="35" spans="1:11" ht="34.5" customHeight="1" x14ac:dyDescent="0.2">
      <c r="A35" s="16"/>
      <c r="B35" s="130" t="s">
        <v>432</v>
      </c>
      <c r="C35" s="126">
        <v>295.2</v>
      </c>
      <c r="D35" s="17"/>
      <c r="E35" s="17"/>
      <c r="F35" s="17"/>
      <c r="G35" s="17"/>
      <c r="H35" s="1"/>
      <c r="I35" s="1"/>
      <c r="J35" s="1"/>
      <c r="K35" s="1"/>
    </row>
    <row r="36" spans="1:11" ht="14.25" x14ac:dyDescent="0.2">
      <c r="A36" s="16"/>
      <c r="B36" s="130" t="s">
        <v>433</v>
      </c>
      <c r="C36" s="126">
        <v>1142.22</v>
      </c>
      <c r="D36" s="17"/>
      <c r="E36" s="17"/>
      <c r="F36" s="17"/>
      <c r="G36" s="17"/>
      <c r="H36" s="1"/>
      <c r="I36" s="1"/>
      <c r="J36" s="1"/>
      <c r="K36" s="1"/>
    </row>
    <row r="37" spans="1:11" ht="14.25" x14ac:dyDescent="0.2">
      <c r="A37" s="16"/>
      <c r="B37" s="130" t="s">
        <v>434</v>
      </c>
      <c r="C37" s="126">
        <v>812.58</v>
      </c>
      <c r="D37" s="17"/>
      <c r="E37" s="17"/>
      <c r="F37" s="17"/>
      <c r="G37" s="17"/>
      <c r="H37" s="1"/>
      <c r="I37" s="1"/>
      <c r="J37" s="1"/>
      <c r="K37" s="1"/>
    </row>
    <row r="38" spans="1:11" ht="14.25" x14ac:dyDescent="0.2">
      <c r="A38" s="16"/>
      <c r="B38" s="130" t="s">
        <v>435</v>
      </c>
      <c r="C38" s="126">
        <v>625.91999999999996</v>
      </c>
      <c r="D38" s="17"/>
      <c r="E38" s="17"/>
      <c r="F38" s="17"/>
      <c r="G38" s="17"/>
      <c r="H38" s="1"/>
      <c r="I38" s="1"/>
      <c r="J38" s="1"/>
      <c r="K38" s="1"/>
    </row>
    <row r="39" spans="1:11" ht="15" thickBot="1" x14ac:dyDescent="0.25">
      <c r="A39" s="16"/>
      <c r="B39" s="130" t="s">
        <v>436</v>
      </c>
      <c r="C39" s="126">
        <v>437.1</v>
      </c>
      <c r="D39" s="17"/>
      <c r="E39" s="17"/>
      <c r="F39" s="17"/>
      <c r="G39" s="17"/>
      <c r="H39" s="1"/>
      <c r="I39" s="1"/>
      <c r="J39" s="1"/>
      <c r="K39" s="1"/>
    </row>
    <row r="40" spans="1:11" ht="26.25" thickBot="1" x14ac:dyDescent="0.25">
      <c r="A40" s="16"/>
      <c r="B40" s="130" t="s">
        <v>437</v>
      </c>
      <c r="C40" s="126">
        <v>35.82</v>
      </c>
      <c r="D40" s="17"/>
      <c r="E40" s="17"/>
      <c r="H40" s="1"/>
      <c r="I40" s="118" t="s">
        <v>69</v>
      </c>
      <c r="J40" s="119">
        <v>850</v>
      </c>
      <c r="K40" s="1"/>
    </row>
    <row r="41" spans="1:11" ht="14.25" x14ac:dyDescent="0.2">
      <c r="A41" s="16"/>
      <c r="B41" s="130" t="s">
        <v>438</v>
      </c>
      <c r="C41" s="126">
        <v>15.69</v>
      </c>
      <c r="D41" s="17"/>
      <c r="E41" s="17"/>
      <c r="F41" s="17"/>
      <c r="G41" s="17"/>
      <c r="H41" s="1"/>
      <c r="I41" s="1"/>
      <c r="J41" s="1"/>
      <c r="K41" s="1"/>
    </row>
    <row r="42" spans="1:11" ht="14.25" x14ac:dyDescent="0.2">
      <c r="A42" s="16"/>
      <c r="B42" s="130" t="s">
        <v>439</v>
      </c>
      <c r="C42" s="126">
        <v>501.06</v>
      </c>
      <c r="D42" s="17"/>
      <c r="E42" s="17"/>
      <c r="F42" s="17"/>
      <c r="G42" s="17"/>
      <c r="H42" s="1"/>
      <c r="I42" s="1"/>
      <c r="J42" s="1"/>
      <c r="K42" s="1"/>
    </row>
    <row r="43" spans="1:11" ht="14.25" x14ac:dyDescent="0.2">
      <c r="A43" s="16"/>
      <c r="B43" s="130" t="s">
        <v>440</v>
      </c>
      <c r="C43" s="126">
        <v>51.54</v>
      </c>
      <c r="D43" s="17"/>
      <c r="E43" s="17"/>
      <c r="F43" s="17"/>
      <c r="G43" s="17"/>
      <c r="H43" s="1"/>
      <c r="I43" s="1"/>
      <c r="J43" s="1"/>
      <c r="K43" s="1"/>
    </row>
    <row r="44" spans="1:11" ht="14.25" x14ac:dyDescent="0.2">
      <c r="A44" s="16"/>
      <c r="B44" s="130" t="s">
        <v>441</v>
      </c>
      <c r="C44" s="126">
        <v>768.48</v>
      </c>
      <c r="D44" s="17"/>
      <c r="E44" s="17"/>
      <c r="F44" s="17"/>
      <c r="G44" s="17"/>
      <c r="H44" s="1"/>
      <c r="I44" s="1"/>
      <c r="J44" s="1"/>
      <c r="K44" s="1"/>
    </row>
    <row r="45" spans="1:11" ht="14.25" x14ac:dyDescent="0.2">
      <c r="A45" s="16"/>
      <c r="B45" s="130" t="s">
        <v>442</v>
      </c>
      <c r="C45" s="126">
        <v>2046.42</v>
      </c>
      <c r="D45" s="17"/>
      <c r="E45" s="17"/>
      <c r="F45" s="17"/>
      <c r="G45" s="17"/>
      <c r="H45" s="1"/>
      <c r="I45" s="1"/>
      <c r="J45" s="1"/>
      <c r="K45" s="1"/>
    </row>
    <row r="46" spans="1:11" ht="14.25" x14ac:dyDescent="0.2">
      <c r="A46" s="18"/>
      <c r="B46" s="130" t="s">
        <v>443</v>
      </c>
      <c r="C46" s="126">
        <v>94.26</v>
      </c>
    </row>
    <row r="47" spans="1:11" ht="15" thickBot="1" x14ac:dyDescent="0.25">
      <c r="A47" s="18"/>
      <c r="B47" s="131" t="s">
        <v>444</v>
      </c>
      <c r="C47" s="127">
        <v>104.82</v>
      </c>
    </row>
    <row r="48" spans="1:11" ht="15" x14ac:dyDescent="0.2">
      <c r="B48" s="29"/>
      <c r="C48" s="29"/>
    </row>
    <row r="49" spans="2:3" customFormat="1" ht="15" x14ac:dyDescent="0.2">
      <c r="B49" s="29"/>
      <c r="C49" s="29"/>
    </row>
    <row r="50" spans="2:3" customFormat="1" ht="15" x14ac:dyDescent="0.2">
      <c r="B50" s="29"/>
      <c r="C50" s="29"/>
    </row>
    <row r="51" spans="2:3" customFormat="1" ht="15" x14ac:dyDescent="0.2">
      <c r="B51" s="29"/>
      <c r="C51" s="29"/>
    </row>
    <row r="52" spans="2:3" customFormat="1" ht="15" x14ac:dyDescent="0.2">
      <c r="B52" s="29"/>
      <c r="C52" s="29"/>
    </row>
    <row r="53" spans="2:3" customFormat="1" ht="15" x14ac:dyDescent="0.2">
      <c r="B53" s="29"/>
      <c r="C53" s="29"/>
    </row>
    <row r="54" spans="2:3" customFormat="1" ht="15" x14ac:dyDescent="0.2">
      <c r="B54" s="29"/>
      <c r="C54" s="29"/>
    </row>
    <row r="55" spans="2:3" customFormat="1" ht="15" x14ac:dyDescent="0.2">
      <c r="B55" s="29"/>
      <c r="C55" s="29"/>
    </row>
    <row r="56" spans="2:3" customFormat="1" ht="15" x14ac:dyDescent="0.2">
      <c r="B56" s="29"/>
      <c r="C56" s="29"/>
    </row>
    <row r="57" spans="2:3" customFormat="1" x14ac:dyDescent="0.2">
      <c r="B57" s="17"/>
      <c r="C57" s="17"/>
    </row>
    <row r="58" spans="2:3" customFormat="1" x14ac:dyDescent="0.2">
      <c r="B58" s="17"/>
      <c r="C58" s="17"/>
    </row>
    <row r="59" spans="2:3" customFormat="1" x14ac:dyDescent="0.2">
      <c r="B59" s="17"/>
      <c r="C59" s="17"/>
    </row>
    <row r="60" spans="2:3" customFormat="1" x14ac:dyDescent="0.2">
      <c r="B60" s="17"/>
      <c r="C60" s="17"/>
    </row>
    <row r="61" spans="2:3" customFormat="1" x14ac:dyDescent="0.2">
      <c r="B61" s="17"/>
      <c r="C61" s="17"/>
    </row>
  </sheetData>
  <sheetProtection algorithmName="SHA-512" hashValue="Y19qgxDYjA45/4jwj0+oHfaZc3OjbKl8F1sgCpj12sCDBZQ4LdzV9fm6nqJRv7nM9wWTnE5e5NIn3FsaT+aoVg==" saltValue="0KH9qd2d3k1XFPwc3cDR9w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7">
      <selection activeCell="C11" sqref="C11"/>
      <rowBreaks count="1" manualBreakCount="1">
        <brk id="56" max="8" man="1"/>
      </rowBreaks>
      <pageMargins left="0.23622047244094491" right="0.23622047244094491" top="0.74803149606299213" bottom="0.74803149606299213" header="0.31496062992125984" footer="0.31496062992125984"/>
      <pageSetup paperSize="9" scale="68" orientation="portrait" r:id="rId1"/>
    </customSheetView>
  </customSheetViews>
  <mergeCells count="7">
    <mergeCell ref="B28:C28"/>
    <mergeCell ref="A7:G8"/>
    <mergeCell ref="A11:A12"/>
    <mergeCell ref="B11:B12"/>
    <mergeCell ref="A18:A19"/>
    <mergeCell ref="B18:B19"/>
    <mergeCell ref="B25:F25"/>
  </mergeCells>
  <pageMargins left="0.23622047244094491" right="0.23622047244094491" top="0.74803149606299213" bottom="0.74803149606299213" header="0.31496062992125984" footer="0.31496062992125984"/>
  <pageSetup paperSize="9" scale="68" orientation="portrait" r:id="rId2"/>
  <rowBreaks count="1" manualBreakCount="1">
    <brk id="5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26" workbookViewId="0">
      <selection activeCell="B56" sqref="B56:B57"/>
    </sheetView>
  </sheetViews>
  <sheetFormatPr defaultRowHeight="12.75" x14ac:dyDescent="0.2"/>
  <cols>
    <col min="1" max="1" width="15.7109375" style="10" customWidth="1"/>
    <col min="2" max="2" width="35.85546875" style="10" customWidth="1"/>
    <col min="3" max="3" width="37.5703125" style="10" customWidth="1"/>
    <col min="4" max="4" width="9.140625" style="10"/>
    <col min="5" max="5" width="14.140625" style="10" customWidth="1"/>
    <col min="6" max="6" width="13" style="10" customWidth="1"/>
    <col min="7" max="7" width="12.5703125" style="10" customWidth="1"/>
    <col min="8" max="8" width="19.7109375" style="10" hidden="1" customWidth="1"/>
    <col min="9" max="9" width="9.140625" hidden="1" customWidth="1"/>
    <col min="10" max="10" width="0.7109375" customWidth="1"/>
    <col min="11" max="11" width="0.85546875" hidden="1" customWidth="1"/>
    <col min="12" max="12" width="1.42578125" hidden="1" customWidth="1"/>
    <col min="13" max="13" width="6.7109375" customWidth="1"/>
  </cols>
  <sheetData>
    <row r="1" spans="1:10" ht="15.75" hidden="1" x14ac:dyDescent="0.25">
      <c r="A1" s="12"/>
      <c r="B1" s="12"/>
      <c r="C1" s="12"/>
      <c r="D1" s="12"/>
      <c r="E1" s="44" t="s">
        <v>118</v>
      </c>
      <c r="F1" s="44"/>
      <c r="G1" s="44"/>
      <c r="H1" s="57"/>
    </row>
    <row r="2" spans="1:10" ht="15.75" hidden="1" x14ac:dyDescent="0.25">
      <c r="A2" s="12"/>
      <c r="B2" s="12"/>
      <c r="C2" s="12"/>
      <c r="D2" s="12"/>
      <c r="E2" s="44" t="s">
        <v>119</v>
      </c>
      <c r="F2" s="44"/>
      <c r="G2" s="44"/>
      <c r="H2" s="57"/>
    </row>
    <row r="3" spans="1:10" ht="15.75" hidden="1" x14ac:dyDescent="0.25">
      <c r="A3" s="12"/>
      <c r="B3" s="12"/>
      <c r="C3" s="12"/>
      <c r="D3" s="12"/>
      <c r="E3" s="44" t="s">
        <v>120</v>
      </c>
      <c r="F3" s="44"/>
      <c r="G3" s="44"/>
      <c r="H3" s="57"/>
    </row>
    <row r="4" spans="1:10" ht="0.75" customHeight="1" x14ac:dyDescent="0.25">
      <c r="A4" s="12"/>
      <c r="B4" s="12"/>
      <c r="C4" s="12"/>
      <c r="D4" s="12"/>
      <c r="E4" s="44"/>
      <c r="F4" s="44"/>
      <c r="G4" s="44"/>
      <c r="H4" s="57"/>
    </row>
    <row r="5" spans="1:10" ht="152.25" hidden="1" customHeight="1" x14ac:dyDescent="0.25">
      <c r="A5" s="12"/>
      <c r="B5" s="12"/>
      <c r="C5" s="12"/>
      <c r="D5" s="12"/>
      <c r="E5" s="44"/>
      <c r="F5" s="44"/>
      <c r="G5" s="44"/>
      <c r="H5" s="57"/>
    </row>
    <row r="6" spans="1:10" ht="119.25" hidden="1" customHeight="1" x14ac:dyDescent="0.25">
      <c r="A6" s="12"/>
      <c r="B6" s="12"/>
      <c r="C6" s="12"/>
      <c r="D6" s="12"/>
      <c r="E6" s="44" t="s">
        <v>179</v>
      </c>
      <c r="F6" s="44"/>
      <c r="G6" s="44"/>
      <c r="H6" s="57"/>
    </row>
    <row r="7" spans="1:10" ht="0.75" hidden="1" customHeight="1" x14ac:dyDescent="0.2">
      <c r="A7" s="12"/>
      <c r="B7" s="47"/>
      <c r="C7" s="47"/>
      <c r="D7" s="47"/>
      <c r="E7" s="45"/>
      <c r="F7" s="45"/>
      <c r="G7" s="45"/>
      <c r="H7" s="45"/>
    </row>
    <row r="8" spans="1:10" ht="51" customHeight="1" thickBot="1" x14ac:dyDescent="0.25">
      <c r="A8" s="317" t="s">
        <v>381</v>
      </c>
      <c r="B8" s="285"/>
      <c r="C8" s="285"/>
      <c r="D8" s="285"/>
      <c r="E8" s="285"/>
      <c r="F8" s="285"/>
      <c r="G8" s="285"/>
      <c r="H8"/>
    </row>
    <row r="9" spans="1:10" ht="43.5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87</v>
      </c>
      <c r="I9" s="1"/>
      <c r="J9" s="1"/>
    </row>
    <row r="10" spans="1:10" ht="25.5" x14ac:dyDescent="0.2">
      <c r="A10" s="298" t="s">
        <v>92</v>
      </c>
      <c r="B10" s="319" t="s">
        <v>8</v>
      </c>
      <c r="C10" s="116" t="s">
        <v>263</v>
      </c>
      <c r="D10" s="20">
        <f>0.7+0.8</f>
        <v>1.5</v>
      </c>
      <c r="E10" s="20">
        <f>D10*K43</f>
        <v>1425</v>
      </c>
      <c r="F10" s="20">
        <f>C37+C38+C45*16+C54</f>
        <v>4600.2</v>
      </c>
      <c r="G10" s="76">
        <f t="shared" ref="G10:G32" si="0">E10+F10</f>
        <v>6025.2</v>
      </c>
    </row>
    <row r="11" spans="1:10" ht="25.5" x14ac:dyDescent="0.2">
      <c r="A11" s="287"/>
      <c r="B11" s="289"/>
      <c r="C11" s="115" t="s">
        <v>264</v>
      </c>
      <c r="D11" s="4">
        <f>0.7+0.8</f>
        <v>1.5</v>
      </c>
      <c r="E11" s="4">
        <f>D11*K43</f>
        <v>1425</v>
      </c>
      <c r="F11" s="4">
        <f>C37+C38+C46*16+C54</f>
        <v>4198.92</v>
      </c>
      <c r="G11" s="77">
        <f t="shared" si="0"/>
        <v>5623.92</v>
      </c>
    </row>
    <row r="12" spans="1:10" ht="38.25" x14ac:dyDescent="0.2">
      <c r="A12" s="287" t="s">
        <v>93</v>
      </c>
      <c r="B12" s="318" t="s">
        <v>11</v>
      </c>
      <c r="C12" s="117" t="s">
        <v>172</v>
      </c>
      <c r="D12" s="24">
        <f>0.6+0.7+0.3+0.8+0.5+1.4</f>
        <v>4.3</v>
      </c>
      <c r="E12" s="24">
        <f>D12*K43</f>
        <v>4085</v>
      </c>
      <c r="F12" s="24">
        <f>C37+C38+C41+C43+C45*16+C53+C54</f>
        <v>9112.19</v>
      </c>
      <c r="G12" s="77">
        <f t="shared" si="0"/>
        <v>13197.19</v>
      </c>
    </row>
    <row r="13" spans="1:10" ht="25.5" x14ac:dyDescent="0.2">
      <c r="A13" s="287"/>
      <c r="B13" s="318"/>
      <c r="C13" s="24" t="s">
        <v>10</v>
      </c>
      <c r="D13" s="24">
        <v>4.3</v>
      </c>
      <c r="E13" s="24">
        <f>D13*K43</f>
        <v>4085</v>
      </c>
      <c r="F13" s="24">
        <f>C37+C38+C41+C43+C46*16+C53+C54</f>
        <v>8710.91</v>
      </c>
      <c r="G13" s="77">
        <f t="shared" si="0"/>
        <v>12795.91</v>
      </c>
    </row>
    <row r="14" spans="1:10" ht="25.5" x14ac:dyDescent="0.2">
      <c r="A14" s="287" t="s">
        <v>94</v>
      </c>
      <c r="B14" s="289" t="s">
        <v>8</v>
      </c>
      <c r="C14" s="115" t="s">
        <v>265</v>
      </c>
      <c r="D14" s="4">
        <f>0.7+0.8</f>
        <v>1.5</v>
      </c>
      <c r="E14" s="4">
        <f>D14*K43</f>
        <v>1425</v>
      </c>
      <c r="F14" s="4">
        <f>C37+C38+C45*16+C54</f>
        <v>4600.2</v>
      </c>
      <c r="G14" s="77">
        <f t="shared" si="0"/>
        <v>6025.2</v>
      </c>
    </row>
    <row r="15" spans="1:10" ht="25.5" x14ac:dyDescent="0.2">
      <c r="A15" s="287"/>
      <c r="B15" s="289"/>
      <c r="C15" s="115" t="s">
        <v>264</v>
      </c>
      <c r="D15" s="4">
        <f>0.7+0.8</f>
        <v>1.5</v>
      </c>
      <c r="E15" s="4">
        <f>D15*K43</f>
        <v>1425</v>
      </c>
      <c r="F15" s="4">
        <f>C37+C38+C46*16+C54</f>
        <v>4198.92</v>
      </c>
      <c r="G15" s="77">
        <f t="shared" si="0"/>
        <v>5623.92</v>
      </c>
    </row>
    <row r="16" spans="1:10" ht="51" x14ac:dyDescent="0.2">
      <c r="A16" s="287" t="s">
        <v>95</v>
      </c>
      <c r="B16" s="318" t="s">
        <v>153</v>
      </c>
      <c r="C16" s="140" t="s">
        <v>173</v>
      </c>
      <c r="D16" s="24">
        <f>0.6+0.7+0.8+0.5+0.1+0.3+0.3+0.3</f>
        <v>3.5999999999999992</v>
      </c>
      <c r="E16" s="24">
        <f>D16*K43</f>
        <v>3419.9999999999991</v>
      </c>
      <c r="F16" s="24">
        <f>C37+C38+C41+C43+C45*16+C53+C54+C47*6.5+C48*5.6+C40+C39</f>
        <v>18133.21</v>
      </c>
      <c r="G16" s="77">
        <f t="shared" si="0"/>
        <v>21553.21</v>
      </c>
    </row>
    <row r="17" spans="1:7" ht="38.25" x14ac:dyDescent="0.2">
      <c r="A17" s="287"/>
      <c r="B17" s="318"/>
      <c r="C17" s="24" t="s">
        <v>19</v>
      </c>
      <c r="D17" s="24">
        <v>3.6</v>
      </c>
      <c r="E17" s="24">
        <f>D17*K43</f>
        <v>3420</v>
      </c>
      <c r="F17" s="24">
        <f>C37+C38+C41+C43+C46*16+C53+C54+C47*6.5+C48*5.6+C39+C40</f>
        <v>17731.93</v>
      </c>
      <c r="G17" s="77">
        <f t="shared" si="0"/>
        <v>21151.93</v>
      </c>
    </row>
    <row r="18" spans="1:7" ht="25.5" x14ac:dyDescent="0.2">
      <c r="A18" s="287" t="s">
        <v>96</v>
      </c>
      <c r="B18" s="289" t="s">
        <v>8</v>
      </c>
      <c r="C18" s="115" t="s">
        <v>265</v>
      </c>
      <c r="D18" s="4">
        <f>0.7+0.8</f>
        <v>1.5</v>
      </c>
      <c r="E18" s="4">
        <f>D18*K43</f>
        <v>1425</v>
      </c>
      <c r="F18" s="4">
        <f>C37+C38+C45*16+C54</f>
        <v>4600.2</v>
      </c>
      <c r="G18" s="77">
        <f t="shared" si="0"/>
        <v>6025.2</v>
      </c>
    </row>
    <row r="19" spans="1:7" ht="25.5" x14ac:dyDescent="0.2">
      <c r="A19" s="287"/>
      <c r="B19" s="289"/>
      <c r="C19" s="115" t="s">
        <v>264</v>
      </c>
      <c r="D19" s="4">
        <f>0.7+0.8</f>
        <v>1.5</v>
      </c>
      <c r="E19" s="4">
        <f>D19*K43</f>
        <v>1425</v>
      </c>
      <c r="F19" s="4">
        <f>C37+C38+C46*16+C54</f>
        <v>4198.92</v>
      </c>
      <c r="G19" s="77">
        <f t="shared" si="0"/>
        <v>5623.92</v>
      </c>
    </row>
    <row r="20" spans="1:7" ht="38.25" x14ac:dyDescent="0.2">
      <c r="A20" s="287" t="s">
        <v>97</v>
      </c>
      <c r="B20" s="318" t="s">
        <v>12</v>
      </c>
      <c r="C20" s="117" t="s">
        <v>174</v>
      </c>
      <c r="D20" s="24">
        <f>0.6+0.7+0.3+0.8+0.5+1.4</f>
        <v>4.3</v>
      </c>
      <c r="E20" s="24">
        <f>D20*K43</f>
        <v>4085</v>
      </c>
      <c r="F20" s="24">
        <f>C37+C38+C41+C43+C45*16+C53+C54</f>
        <v>9112.19</v>
      </c>
      <c r="G20" s="77">
        <f t="shared" si="0"/>
        <v>13197.19</v>
      </c>
    </row>
    <row r="21" spans="1:7" ht="25.5" x14ac:dyDescent="0.2">
      <c r="A21" s="287"/>
      <c r="B21" s="318"/>
      <c r="C21" s="117" t="s">
        <v>175</v>
      </c>
      <c r="D21" s="24">
        <v>4.3</v>
      </c>
      <c r="E21" s="24">
        <f>D21*K43</f>
        <v>4085</v>
      </c>
      <c r="F21" s="24">
        <f>C37+C38+C41+C43+C46*16+C53+C54</f>
        <v>8710.91</v>
      </c>
      <c r="G21" s="77">
        <f t="shared" si="0"/>
        <v>12795.91</v>
      </c>
    </row>
    <row r="22" spans="1:7" ht="25.5" x14ac:dyDescent="0.2">
      <c r="A22" s="287" t="s">
        <v>98</v>
      </c>
      <c r="B22" s="289" t="s">
        <v>8</v>
      </c>
      <c r="C22" s="115" t="s">
        <v>265</v>
      </c>
      <c r="D22" s="4">
        <f>0.7+0.8</f>
        <v>1.5</v>
      </c>
      <c r="E22" s="4">
        <f>D22*K43</f>
        <v>1425</v>
      </c>
      <c r="F22" s="4">
        <f>C37+C38+C45*16+C54</f>
        <v>4600.2</v>
      </c>
      <c r="G22" s="77">
        <f t="shared" si="0"/>
        <v>6025.2</v>
      </c>
    </row>
    <row r="23" spans="1:7" ht="25.5" x14ac:dyDescent="0.2">
      <c r="A23" s="287"/>
      <c r="B23" s="289"/>
      <c r="C23" s="115" t="s">
        <v>264</v>
      </c>
      <c r="D23" s="4">
        <f>0.7+0.8</f>
        <v>1.5</v>
      </c>
      <c r="E23" s="4">
        <f>D23*K43</f>
        <v>1425</v>
      </c>
      <c r="F23" s="4">
        <f>C37+C38+C46*16+C54</f>
        <v>4198.92</v>
      </c>
      <c r="G23" s="77">
        <f t="shared" si="0"/>
        <v>5623.92</v>
      </c>
    </row>
    <row r="24" spans="1:7" ht="51" x14ac:dyDescent="0.2">
      <c r="A24" s="287" t="s">
        <v>99</v>
      </c>
      <c r="B24" s="318" t="s">
        <v>152</v>
      </c>
      <c r="C24" s="117" t="s">
        <v>176</v>
      </c>
      <c r="D24" s="24">
        <f>0.6+0.7+0.8+0.5+0.1+0.3+0.3+0.3</f>
        <v>3.5999999999999992</v>
      </c>
      <c r="E24" s="24">
        <f>D24*K43</f>
        <v>3419.9999999999991</v>
      </c>
      <c r="F24" s="24">
        <f>C37+C38+C41+C43+C45*16+C53+C54+C47*6.5+C48*5.6+C39+C40</f>
        <v>18133.210000000003</v>
      </c>
      <c r="G24" s="77">
        <f t="shared" si="0"/>
        <v>21553.210000000003</v>
      </c>
    </row>
    <row r="25" spans="1:7" ht="25.5" x14ac:dyDescent="0.2">
      <c r="A25" s="287"/>
      <c r="B25" s="318"/>
      <c r="C25" s="24" t="s">
        <v>10</v>
      </c>
      <c r="D25" s="24">
        <v>3.6</v>
      </c>
      <c r="E25" s="24">
        <f>D25*K43</f>
        <v>3420</v>
      </c>
      <c r="F25" s="24">
        <f>C37+C38+C41+C43+C46*16+C53+C54+C47*6.5+C48*5.6+C39+C40</f>
        <v>17731.93</v>
      </c>
      <c r="G25" s="77">
        <f t="shared" si="0"/>
        <v>21151.93</v>
      </c>
    </row>
    <row r="26" spans="1:7" ht="25.5" x14ac:dyDescent="0.2">
      <c r="A26" s="287" t="s">
        <v>100</v>
      </c>
      <c r="B26" s="289" t="s">
        <v>8</v>
      </c>
      <c r="C26" s="115" t="s">
        <v>266</v>
      </c>
      <c r="D26" s="4">
        <f>0.7+0.8</f>
        <v>1.5</v>
      </c>
      <c r="E26" s="4">
        <f>D26*K43</f>
        <v>1425</v>
      </c>
      <c r="F26" s="4">
        <f>C37+C38+C45*16+C54</f>
        <v>4600.2</v>
      </c>
      <c r="G26" s="77">
        <f t="shared" si="0"/>
        <v>6025.2</v>
      </c>
    </row>
    <row r="27" spans="1:7" ht="25.5" x14ac:dyDescent="0.2">
      <c r="A27" s="287"/>
      <c r="B27" s="289"/>
      <c r="C27" s="4" t="s">
        <v>267</v>
      </c>
      <c r="D27" s="4">
        <f>0.7+0.8</f>
        <v>1.5</v>
      </c>
      <c r="E27" s="4">
        <f>D27*K43</f>
        <v>1425</v>
      </c>
      <c r="F27" s="4">
        <f>C37+C38+C46*16+C54</f>
        <v>4198.92</v>
      </c>
      <c r="G27" s="77">
        <f t="shared" si="0"/>
        <v>5623.92</v>
      </c>
    </row>
    <row r="28" spans="1:7" ht="25.5" x14ac:dyDescent="0.2">
      <c r="A28" s="287" t="s">
        <v>101</v>
      </c>
      <c r="B28" s="318" t="s">
        <v>13</v>
      </c>
      <c r="C28" s="24" t="s">
        <v>9</v>
      </c>
      <c r="D28" s="24">
        <f>0.6+0.7+0.3+0.8+0.5+1.4</f>
        <v>4.3</v>
      </c>
      <c r="E28" s="24">
        <f>D28*K43</f>
        <v>4085</v>
      </c>
      <c r="F28" s="24">
        <f>C37+C38+C41+C43+C45*16+C53+C54</f>
        <v>9112.19</v>
      </c>
      <c r="G28" s="77">
        <f t="shared" si="0"/>
        <v>13197.19</v>
      </c>
    </row>
    <row r="29" spans="1:7" ht="25.5" x14ac:dyDescent="0.2">
      <c r="A29" s="287"/>
      <c r="B29" s="318"/>
      <c r="C29" s="24" t="s">
        <v>10</v>
      </c>
      <c r="D29" s="24">
        <v>4.3</v>
      </c>
      <c r="E29" s="24">
        <f>D29*K43</f>
        <v>4085</v>
      </c>
      <c r="F29" s="24">
        <f>C37+C38+C41+C43+C46*16+C53+C54</f>
        <v>8710.91</v>
      </c>
      <c r="G29" s="77">
        <f t="shared" si="0"/>
        <v>12795.91</v>
      </c>
    </row>
    <row r="30" spans="1:7" ht="25.5" x14ac:dyDescent="0.2">
      <c r="A30" s="39" t="s">
        <v>14</v>
      </c>
      <c r="B30" s="15" t="s">
        <v>15</v>
      </c>
      <c r="C30" s="4" t="s">
        <v>254</v>
      </c>
      <c r="D30" s="15">
        <v>1.5</v>
      </c>
      <c r="E30" s="15">
        <f>D30*K43</f>
        <v>1425</v>
      </c>
      <c r="F30" s="15">
        <f>C40+C53+C42</f>
        <v>2082.65</v>
      </c>
      <c r="G30" s="78">
        <f t="shared" si="0"/>
        <v>3507.65</v>
      </c>
    </row>
    <row r="31" spans="1:7" ht="31.5" x14ac:dyDescent="0.2">
      <c r="A31" s="39" t="s">
        <v>16</v>
      </c>
      <c r="B31" s="24" t="s">
        <v>151</v>
      </c>
      <c r="C31" s="63" t="s">
        <v>17</v>
      </c>
      <c r="D31" s="63">
        <v>1</v>
      </c>
      <c r="E31" s="63">
        <f>D31*K43</f>
        <v>950</v>
      </c>
      <c r="F31" s="63">
        <f>C42+C53</f>
        <v>1299.77</v>
      </c>
      <c r="G31" s="78">
        <f t="shared" si="0"/>
        <v>2249.77</v>
      </c>
    </row>
    <row r="32" spans="1:7" ht="44.25" customHeight="1" thickBot="1" x14ac:dyDescent="0.25">
      <c r="A32" s="40" t="s">
        <v>249</v>
      </c>
      <c r="B32" s="75" t="s">
        <v>18</v>
      </c>
      <c r="C32" s="75" t="s">
        <v>18</v>
      </c>
      <c r="D32" s="75">
        <v>1.7</v>
      </c>
      <c r="E32" s="75">
        <f>D32*K43</f>
        <v>1615</v>
      </c>
      <c r="F32" s="75">
        <f>C52*10+C55*10+C51</f>
        <v>7594.0199999999995</v>
      </c>
      <c r="G32" s="79">
        <f t="shared" si="0"/>
        <v>9209.02</v>
      </c>
    </row>
    <row r="33" spans="1:11" x14ac:dyDescent="0.2">
      <c r="A33" s="17"/>
      <c r="B33" s="17"/>
      <c r="C33" s="17"/>
      <c r="D33" s="17"/>
      <c r="E33" s="17"/>
      <c r="F33" s="17"/>
      <c r="G33" s="67"/>
    </row>
    <row r="34" spans="1:11" x14ac:dyDescent="0.2">
      <c r="A34" s="17"/>
      <c r="B34" s="17"/>
      <c r="C34" s="17"/>
      <c r="D34" s="17"/>
      <c r="E34" s="17"/>
      <c r="F34" s="17"/>
      <c r="G34" s="67"/>
    </row>
    <row r="35" spans="1:11" ht="13.5" thickBot="1" x14ac:dyDescent="0.25">
      <c r="A35" s="12"/>
      <c r="B35" s="12"/>
      <c r="C35" s="12"/>
      <c r="D35" s="12"/>
      <c r="E35" s="12"/>
      <c r="F35" s="12"/>
      <c r="G35" s="12"/>
    </row>
    <row r="36" spans="1:11" ht="18.75" thickBot="1" x14ac:dyDescent="0.25">
      <c r="A36" s="12"/>
      <c r="B36" s="80" t="s">
        <v>49</v>
      </c>
      <c r="C36" s="147" t="s">
        <v>121</v>
      </c>
      <c r="D36" s="12"/>
      <c r="E36" s="12"/>
      <c r="F36" s="12"/>
      <c r="G36" s="12"/>
    </row>
    <row r="37" spans="1:11" ht="14.25" x14ac:dyDescent="0.2">
      <c r="A37" s="12"/>
      <c r="B37" s="143" t="s">
        <v>155</v>
      </c>
      <c r="C37" s="125">
        <v>515.58000000000004</v>
      </c>
      <c r="D37" s="12"/>
      <c r="E37" s="12"/>
      <c r="F37" s="12"/>
      <c r="G37" s="12"/>
    </row>
    <row r="38" spans="1:11" ht="14.25" x14ac:dyDescent="0.2">
      <c r="A38" s="12"/>
      <c r="B38" s="120" t="s">
        <v>449</v>
      </c>
      <c r="C38" s="126">
        <v>630.12</v>
      </c>
      <c r="D38" s="12"/>
      <c r="E38" s="12"/>
      <c r="F38" s="12"/>
      <c r="G38" s="12"/>
    </row>
    <row r="39" spans="1:11" ht="14.25" x14ac:dyDescent="0.2">
      <c r="A39" s="12"/>
      <c r="B39" s="120" t="s">
        <v>392</v>
      </c>
      <c r="C39" s="130">
        <f>3621.2+1532</f>
        <v>5153.2</v>
      </c>
      <c r="D39" s="12"/>
      <c r="E39" s="12"/>
      <c r="F39" s="12"/>
      <c r="G39" s="12"/>
    </row>
    <row r="40" spans="1:11" ht="14.25" x14ac:dyDescent="0.2">
      <c r="A40" s="12"/>
      <c r="B40" s="120" t="s">
        <v>416</v>
      </c>
      <c r="C40" s="126">
        <v>782.88</v>
      </c>
      <c r="D40" s="12"/>
      <c r="E40" s="12"/>
      <c r="F40" s="12"/>
      <c r="G40" s="12"/>
    </row>
    <row r="41" spans="1:11" ht="14.25" x14ac:dyDescent="0.2">
      <c r="A41" s="12"/>
      <c r="B41" s="120" t="s">
        <v>458</v>
      </c>
      <c r="C41" s="126">
        <v>2902.44</v>
      </c>
      <c r="D41" s="12"/>
      <c r="E41" s="12"/>
      <c r="F41" s="12"/>
      <c r="G41" s="12"/>
    </row>
    <row r="42" spans="1:11" ht="15" thickBot="1" x14ac:dyDescent="0.25">
      <c r="A42" s="12"/>
      <c r="B42" s="120" t="s">
        <v>459</v>
      </c>
      <c r="C42" s="126">
        <v>967.62</v>
      </c>
      <c r="D42" s="12"/>
      <c r="E42" s="12"/>
      <c r="F42" s="12"/>
      <c r="G42" s="12"/>
    </row>
    <row r="43" spans="1:11" ht="20.25" customHeight="1" thickBot="1" x14ac:dyDescent="0.25">
      <c r="A43" s="12"/>
      <c r="B43" s="120" t="s">
        <v>460</v>
      </c>
      <c r="C43" s="126">
        <v>1277.4000000000001</v>
      </c>
      <c r="D43" s="12"/>
      <c r="E43" s="12"/>
      <c r="F43" s="12"/>
      <c r="G43" s="12"/>
      <c r="J43" s="118" t="s">
        <v>166</v>
      </c>
      <c r="K43" s="119">
        <v>950</v>
      </c>
    </row>
    <row r="44" spans="1:11" ht="14.25" x14ac:dyDescent="0.2">
      <c r="A44" s="12"/>
      <c r="B44" s="146"/>
      <c r="C44" s="148"/>
      <c r="D44" s="12"/>
      <c r="E44" s="12"/>
    </row>
    <row r="45" spans="1:11" ht="14.25" x14ac:dyDescent="0.2">
      <c r="A45" s="12"/>
      <c r="B45" s="120" t="s">
        <v>431</v>
      </c>
      <c r="C45" s="126">
        <v>213.24</v>
      </c>
      <c r="D45" s="12"/>
      <c r="E45" s="12"/>
      <c r="F45" s="12"/>
      <c r="G45" s="12"/>
    </row>
    <row r="46" spans="1:11" ht="14.25" x14ac:dyDescent="0.2">
      <c r="A46" s="12"/>
      <c r="B46" s="120" t="s">
        <v>451</v>
      </c>
      <c r="C46" s="135">
        <v>188.16</v>
      </c>
      <c r="D46" s="12"/>
      <c r="E46" s="12"/>
      <c r="F46" s="12"/>
      <c r="G46" s="12"/>
    </row>
    <row r="47" spans="1:11" ht="14.25" x14ac:dyDescent="0.2">
      <c r="A47" s="12"/>
      <c r="B47" s="120" t="s">
        <v>452</v>
      </c>
      <c r="C47" s="135">
        <v>260.60000000000002</v>
      </c>
      <c r="D47" s="12"/>
      <c r="E47" s="12"/>
      <c r="F47" s="12"/>
      <c r="G47" s="12"/>
    </row>
    <row r="48" spans="1:11" ht="14.25" x14ac:dyDescent="0.2">
      <c r="B48" s="120" t="s">
        <v>461</v>
      </c>
      <c r="C48" s="144">
        <v>248.4</v>
      </c>
    </row>
    <row r="49" spans="2:3" ht="14.25" x14ac:dyDescent="0.2">
      <c r="B49" s="120" t="s">
        <v>462</v>
      </c>
      <c r="C49" s="144">
        <v>996.4</v>
      </c>
    </row>
    <row r="50" spans="2:3" ht="14.25" x14ac:dyDescent="0.2">
      <c r="B50" s="120" t="s">
        <v>463</v>
      </c>
      <c r="C50" s="144">
        <v>1072.2</v>
      </c>
    </row>
    <row r="51" spans="2:3" ht="14.25" x14ac:dyDescent="0.2">
      <c r="B51" s="130" t="s">
        <v>435</v>
      </c>
      <c r="C51" s="126">
        <v>625.91999999999996</v>
      </c>
    </row>
    <row r="52" spans="2:3" ht="14.25" x14ac:dyDescent="0.2">
      <c r="B52" s="130" t="s">
        <v>436</v>
      </c>
      <c r="C52" s="126">
        <v>681.12</v>
      </c>
    </row>
    <row r="53" spans="2:3" ht="14.25" x14ac:dyDescent="0.2">
      <c r="B53" s="120" t="s">
        <v>464</v>
      </c>
      <c r="C53" s="144">
        <v>332.15</v>
      </c>
    </row>
    <row r="54" spans="2:3" ht="14.25" x14ac:dyDescent="0.2">
      <c r="B54" s="120" t="s">
        <v>445</v>
      </c>
      <c r="C54" s="144">
        <v>42.66</v>
      </c>
    </row>
    <row r="55" spans="2:3" ht="14.25" x14ac:dyDescent="0.2">
      <c r="B55" s="130" t="s">
        <v>438</v>
      </c>
      <c r="C55" s="126">
        <v>15.69</v>
      </c>
    </row>
  </sheetData>
  <sheetProtection algorithmName="SHA-512" hashValue="KUiNGJ5Lh/pJLGJZt0OFxLScBytBr3MLQZKACSvixSs64vqP1bQdtJV05nS3raT4vnORcjKGkNbUbh45XGlqUw==" saltValue="j8y5DKgPs0ZOHwmzSyN75g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6">
      <selection activeCell="B56" sqref="B56:B57"/>
      <pageMargins left="0.23622047244094491" right="0.23622047244094491" top="0.74803149606299213" bottom="0.74803149606299213" header="0.31496062992125984" footer="0.31496062992125984"/>
      <pageSetup paperSize="9" scale="64" orientation="portrait" horizontalDpi="4294967295" r:id="rId1"/>
    </customSheetView>
  </customSheetViews>
  <mergeCells count="21">
    <mergeCell ref="B10:B11"/>
    <mergeCell ref="A12:A13"/>
    <mergeCell ref="B12:B13"/>
    <mergeCell ref="A18:A19"/>
    <mergeCell ref="B18:B19"/>
    <mergeCell ref="A8:G8"/>
    <mergeCell ref="A26:A27"/>
    <mergeCell ref="B26:B27"/>
    <mergeCell ref="A28:A29"/>
    <mergeCell ref="B28:B29"/>
    <mergeCell ref="A22:A23"/>
    <mergeCell ref="B22:B23"/>
    <mergeCell ref="A24:A25"/>
    <mergeCell ref="B24:B25"/>
    <mergeCell ref="A20:A21"/>
    <mergeCell ref="B20:B21"/>
    <mergeCell ref="A14:A15"/>
    <mergeCell ref="B14:B15"/>
    <mergeCell ref="A16:A17"/>
    <mergeCell ref="B16:B17"/>
    <mergeCell ref="A10:A1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4" orientation="portrait" horizontalDpi="4294967295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7" workbookViewId="0">
      <selection activeCell="E51" sqref="E51"/>
    </sheetView>
  </sheetViews>
  <sheetFormatPr defaultRowHeight="12.75" x14ac:dyDescent="0.2"/>
  <cols>
    <col min="1" max="1" width="16.28515625" style="10" customWidth="1"/>
    <col min="2" max="2" width="34.85546875" style="10" customWidth="1"/>
    <col min="3" max="3" width="36.140625" style="10" customWidth="1"/>
    <col min="4" max="4" width="12.140625" style="10" customWidth="1"/>
    <col min="5" max="5" width="14" style="10" customWidth="1"/>
    <col min="6" max="6" width="13.42578125" style="10" customWidth="1"/>
    <col min="7" max="7" width="13.28515625" style="10" customWidth="1"/>
    <col min="8" max="8" width="25.85546875" style="10" hidden="1" customWidth="1"/>
    <col min="9" max="9" width="26.5703125" style="10" hidden="1" customWidth="1"/>
    <col min="10" max="10" width="29.7109375" hidden="1" customWidth="1"/>
    <col min="11" max="11" width="12.85546875" hidden="1" customWidth="1"/>
    <col min="12" max="12" width="10.42578125" hidden="1" customWidth="1"/>
    <col min="13" max="13" width="0.7109375" customWidth="1"/>
  </cols>
  <sheetData>
    <row r="1" spans="1:9" ht="15.75" hidden="1" x14ac:dyDescent="0.25">
      <c r="A1" s="12"/>
      <c r="B1" s="12"/>
      <c r="C1" s="12"/>
      <c r="D1" s="12"/>
      <c r="F1" s="44" t="s">
        <v>118</v>
      </c>
      <c r="G1" s="44"/>
      <c r="H1" s="44"/>
      <c r="I1"/>
    </row>
    <row r="2" spans="1:9" ht="15.75" hidden="1" x14ac:dyDescent="0.25">
      <c r="A2" s="12"/>
      <c r="B2" s="12"/>
      <c r="C2" s="12"/>
      <c r="D2" s="12"/>
      <c r="F2" s="44" t="s">
        <v>119</v>
      </c>
      <c r="G2" s="44"/>
      <c r="H2" s="44"/>
      <c r="I2"/>
    </row>
    <row r="3" spans="1:9" ht="15.75" hidden="1" x14ac:dyDescent="0.25">
      <c r="A3" s="12"/>
      <c r="B3" s="12"/>
      <c r="C3" s="12"/>
      <c r="D3" s="12"/>
      <c r="F3" s="44" t="s">
        <v>120</v>
      </c>
      <c r="G3" s="44"/>
      <c r="H3" s="44"/>
      <c r="I3"/>
    </row>
    <row r="4" spans="1:9" ht="15.75" hidden="1" x14ac:dyDescent="0.25">
      <c r="A4" s="12"/>
      <c r="B4" s="12"/>
      <c r="C4" s="12"/>
      <c r="D4" s="12"/>
      <c r="F4" s="44"/>
      <c r="G4" s="44"/>
      <c r="H4" s="44"/>
      <c r="I4"/>
    </row>
    <row r="5" spans="1:9" ht="15.75" hidden="1" x14ac:dyDescent="0.25">
      <c r="A5" s="12"/>
      <c r="B5" s="12"/>
      <c r="C5" s="12"/>
      <c r="D5" s="12"/>
      <c r="F5" s="44"/>
      <c r="G5" s="44"/>
      <c r="H5" s="44"/>
      <c r="I5"/>
    </row>
    <row r="6" spans="1:9" ht="15.75" hidden="1" x14ac:dyDescent="0.25">
      <c r="A6" s="12"/>
      <c r="B6" s="12"/>
      <c r="C6" s="12"/>
      <c r="D6" s="12"/>
      <c r="F6" s="44" t="s">
        <v>179</v>
      </c>
      <c r="G6" s="44"/>
      <c r="H6" s="44"/>
      <c r="I6"/>
    </row>
    <row r="7" spans="1:9" ht="15" hidden="1" x14ac:dyDescent="0.2">
      <c r="A7" s="12"/>
      <c r="B7" s="47"/>
      <c r="C7" s="47"/>
      <c r="D7" s="47"/>
      <c r="F7" s="45"/>
      <c r="G7" s="45"/>
      <c r="H7" s="45"/>
      <c r="I7"/>
    </row>
    <row r="8" spans="1:9" ht="49.5" customHeight="1" thickBot="1" x14ac:dyDescent="0.25">
      <c r="A8" s="317" t="s">
        <v>382</v>
      </c>
      <c r="B8" s="317"/>
      <c r="C8" s="317"/>
      <c r="D8" s="317"/>
      <c r="E8" s="317"/>
      <c r="F8" s="317"/>
      <c r="G8" s="317"/>
      <c r="H8"/>
      <c r="I8"/>
    </row>
    <row r="9" spans="1:9" ht="54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93" t="s">
        <v>87</v>
      </c>
    </row>
    <row r="10" spans="1:9" ht="45.75" customHeight="1" x14ac:dyDescent="0.2">
      <c r="A10" s="320" t="s">
        <v>92</v>
      </c>
      <c r="B10" s="321" t="s">
        <v>8</v>
      </c>
      <c r="C10" s="68" t="s">
        <v>269</v>
      </c>
      <c r="D10" s="68">
        <v>1.6</v>
      </c>
      <c r="E10" s="68">
        <f>D10*K36</f>
        <v>1520</v>
      </c>
      <c r="F10" s="68">
        <f>C34+C35+C42*29+C41</f>
        <v>7388.9400000000005</v>
      </c>
      <c r="G10" s="85">
        <f>E10+F10</f>
        <v>8908.94</v>
      </c>
    </row>
    <row r="11" spans="1:9" ht="25.5" hidden="1" customHeight="1" x14ac:dyDescent="0.2">
      <c r="A11" s="287"/>
      <c r="B11" s="289"/>
      <c r="C11" s="4" t="s">
        <v>50</v>
      </c>
      <c r="D11" s="4">
        <v>1.6</v>
      </c>
      <c r="E11" s="4">
        <f>1.6*298</f>
        <v>476.8</v>
      </c>
      <c r="F11" s="4">
        <v>2560.87</v>
      </c>
      <c r="G11" s="77">
        <f>476.8+2560.87</f>
        <v>3037.67</v>
      </c>
    </row>
    <row r="12" spans="1:9" ht="34.5" customHeight="1" x14ac:dyDescent="0.2">
      <c r="A12" s="287" t="s">
        <v>93</v>
      </c>
      <c r="B12" s="318" t="s">
        <v>11</v>
      </c>
      <c r="C12" s="24" t="s">
        <v>23</v>
      </c>
      <c r="D12" s="24">
        <v>3.5</v>
      </c>
      <c r="E12" s="24">
        <f>D12*K36</f>
        <v>3325</v>
      </c>
      <c r="F12" s="24">
        <f>C34+C35+C37+C38+C40+C41+C42*29+C50</f>
        <v>12683.81</v>
      </c>
      <c r="G12" s="77">
        <f t="shared" ref="G12:G32" si="0">E12+F12</f>
        <v>16008.81</v>
      </c>
    </row>
    <row r="13" spans="1:9" ht="30.75" customHeight="1" x14ac:dyDescent="0.2">
      <c r="A13" s="287"/>
      <c r="B13" s="318"/>
      <c r="C13" s="24" t="s">
        <v>24</v>
      </c>
      <c r="D13" s="24">
        <v>3.5</v>
      </c>
      <c r="E13" s="24">
        <f>D13*K36</f>
        <v>3325</v>
      </c>
      <c r="F13" s="24">
        <f>C34+C35+C37+C38+C40+C41+C43*29+C50</f>
        <v>11956.49</v>
      </c>
      <c r="G13" s="77">
        <f t="shared" si="0"/>
        <v>15281.49</v>
      </c>
    </row>
    <row r="14" spans="1:9" ht="25.5" x14ac:dyDescent="0.2">
      <c r="A14" s="287" t="s">
        <v>94</v>
      </c>
      <c r="B14" s="289" t="s">
        <v>8</v>
      </c>
      <c r="C14" s="4" t="s">
        <v>270</v>
      </c>
      <c r="D14" s="4">
        <v>1.6</v>
      </c>
      <c r="E14" s="4">
        <f>D14*K36</f>
        <v>1520</v>
      </c>
      <c r="F14" s="4">
        <f>F10</f>
        <v>7388.9400000000005</v>
      </c>
      <c r="G14" s="77">
        <f t="shared" si="0"/>
        <v>8908.94</v>
      </c>
    </row>
    <row r="15" spans="1:9" ht="25.5" x14ac:dyDescent="0.2">
      <c r="A15" s="287"/>
      <c r="B15" s="289"/>
      <c r="C15" s="4" t="s">
        <v>271</v>
      </c>
      <c r="D15" s="4">
        <v>1.6</v>
      </c>
      <c r="E15" s="4">
        <f>D15*K36</f>
        <v>1520</v>
      </c>
      <c r="F15" s="4">
        <f>C34+C35+C41+C43*29</f>
        <v>6661.6200000000008</v>
      </c>
      <c r="G15" s="77">
        <f t="shared" si="0"/>
        <v>8181.6200000000008</v>
      </c>
    </row>
    <row r="16" spans="1:9" ht="38.25" x14ac:dyDescent="0.2">
      <c r="A16" s="287" t="s">
        <v>95</v>
      </c>
      <c r="B16" s="318" t="s">
        <v>153</v>
      </c>
      <c r="C16" s="24" t="s">
        <v>25</v>
      </c>
      <c r="D16" s="24">
        <v>3.4</v>
      </c>
      <c r="E16" s="24">
        <f>D16*K36</f>
        <v>3230</v>
      </c>
      <c r="F16" s="24">
        <f>C34+C35+C36+C37+C38+C39+C41+C42*29+C44*6.5+C45*5.6+C50</f>
        <v>20612.170000000006</v>
      </c>
      <c r="G16" s="77">
        <f t="shared" si="0"/>
        <v>23842.170000000006</v>
      </c>
    </row>
    <row r="17" spans="1:7" ht="38.25" x14ac:dyDescent="0.2">
      <c r="A17" s="287"/>
      <c r="B17" s="318"/>
      <c r="C17" s="24" t="s">
        <v>26</v>
      </c>
      <c r="D17" s="24">
        <v>3.4</v>
      </c>
      <c r="E17" s="24">
        <f>D17*K36</f>
        <v>3230</v>
      </c>
      <c r="F17" s="24">
        <f>C34+C35+C36+C37+C38+C39+C41+C43*29+C44*6.5+C45*5.6+C50</f>
        <v>19884.850000000006</v>
      </c>
      <c r="G17" s="77">
        <f t="shared" si="0"/>
        <v>23114.850000000006</v>
      </c>
    </row>
    <row r="18" spans="1:7" ht="25.5" x14ac:dyDescent="0.2">
      <c r="A18" s="287" t="s">
        <v>96</v>
      </c>
      <c r="B18" s="289" t="s">
        <v>8</v>
      </c>
      <c r="C18" s="4" t="s">
        <v>270</v>
      </c>
      <c r="D18" s="4">
        <v>1.6</v>
      </c>
      <c r="E18" s="4">
        <f>D18*K36</f>
        <v>1520</v>
      </c>
      <c r="F18" s="4">
        <f>F14</f>
        <v>7388.9400000000005</v>
      </c>
      <c r="G18" s="77">
        <f t="shared" si="0"/>
        <v>8908.94</v>
      </c>
    </row>
    <row r="19" spans="1:7" ht="25.5" x14ac:dyDescent="0.2">
      <c r="A19" s="287"/>
      <c r="B19" s="289"/>
      <c r="C19" s="4" t="s">
        <v>271</v>
      </c>
      <c r="D19" s="4">
        <v>1.6</v>
      </c>
      <c r="E19" s="4">
        <f>E18</f>
        <v>1520</v>
      </c>
      <c r="F19" s="4">
        <f>F15</f>
        <v>6661.6200000000008</v>
      </c>
      <c r="G19" s="77">
        <f t="shared" si="0"/>
        <v>8181.6200000000008</v>
      </c>
    </row>
    <row r="20" spans="1:7" ht="25.5" x14ac:dyDescent="0.2">
      <c r="A20" s="287" t="s">
        <v>97</v>
      </c>
      <c r="B20" s="318" t="s">
        <v>12</v>
      </c>
      <c r="C20" s="24" t="s">
        <v>23</v>
      </c>
      <c r="D20" s="24">
        <v>3.2</v>
      </c>
      <c r="E20" s="24">
        <f>3.2*298</f>
        <v>953.6</v>
      </c>
      <c r="F20" s="24">
        <f t="shared" ref="F20:F25" si="1">F12</f>
        <v>12683.81</v>
      </c>
      <c r="G20" s="77">
        <f t="shared" si="0"/>
        <v>13637.41</v>
      </c>
    </row>
    <row r="21" spans="1:7" ht="25.5" x14ac:dyDescent="0.2">
      <c r="A21" s="287"/>
      <c r="B21" s="318"/>
      <c r="C21" s="24" t="s">
        <v>24</v>
      </c>
      <c r="D21" s="24">
        <v>3.2</v>
      </c>
      <c r="E21" s="24">
        <f>3.2*298</f>
        <v>953.6</v>
      </c>
      <c r="F21" s="24">
        <f t="shared" si="1"/>
        <v>11956.49</v>
      </c>
      <c r="G21" s="77">
        <f t="shared" si="0"/>
        <v>12910.09</v>
      </c>
    </row>
    <row r="22" spans="1:7" ht="25.5" x14ac:dyDescent="0.2">
      <c r="A22" s="287" t="s">
        <v>98</v>
      </c>
      <c r="B22" s="289" t="s">
        <v>8</v>
      </c>
      <c r="C22" s="4" t="s">
        <v>270</v>
      </c>
      <c r="D22" s="4">
        <v>1.6</v>
      </c>
      <c r="E22" s="4">
        <f>D22*K36</f>
        <v>1520</v>
      </c>
      <c r="F22" s="4">
        <f t="shared" si="1"/>
        <v>7388.9400000000005</v>
      </c>
      <c r="G22" s="77">
        <f t="shared" si="0"/>
        <v>8908.94</v>
      </c>
    </row>
    <row r="23" spans="1:7" ht="25.5" x14ac:dyDescent="0.2">
      <c r="A23" s="287"/>
      <c r="B23" s="289"/>
      <c r="C23" s="4" t="s">
        <v>271</v>
      </c>
      <c r="D23" s="4">
        <v>1.6</v>
      </c>
      <c r="E23" s="4">
        <f>D23*K36</f>
        <v>1520</v>
      </c>
      <c r="F23" s="4">
        <f t="shared" si="1"/>
        <v>6661.6200000000008</v>
      </c>
      <c r="G23" s="77">
        <f t="shared" si="0"/>
        <v>8181.6200000000008</v>
      </c>
    </row>
    <row r="24" spans="1:7" ht="38.25" x14ac:dyDescent="0.2">
      <c r="A24" s="287" t="s">
        <v>99</v>
      </c>
      <c r="B24" s="318" t="s">
        <v>152</v>
      </c>
      <c r="C24" s="24" t="s">
        <v>25</v>
      </c>
      <c r="D24" s="24">
        <v>3.4</v>
      </c>
      <c r="E24" s="24">
        <f>D24*K36</f>
        <v>3230</v>
      </c>
      <c r="F24" s="24">
        <f t="shared" si="1"/>
        <v>20612.170000000006</v>
      </c>
      <c r="G24" s="77">
        <f t="shared" si="0"/>
        <v>23842.170000000006</v>
      </c>
    </row>
    <row r="25" spans="1:7" ht="38.25" x14ac:dyDescent="0.2">
      <c r="A25" s="287"/>
      <c r="B25" s="318"/>
      <c r="C25" s="24" t="s">
        <v>26</v>
      </c>
      <c r="D25" s="24">
        <v>3.4</v>
      </c>
      <c r="E25" s="24">
        <f>D25*K36</f>
        <v>3230</v>
      </c>
      <c r="F25" s="24">
        <f t="shared" si="1"/>
        <v>19884.850000000006</v>
      </c>
      <c r="G25" s="77">
        <f t="shared" si="0"/>
        <v>23114.850000000006</v>
      </c>
    </row>
    <row r="26" spans="1:7" ht="25.5" x14ac:dyDescent="0.2">
      <c r="A26" s="287" t="s">
        <v>100</v>
      </c>
      <c r="B26" s="289" t="s">
        <v>8</v>
      </c>
      <c r="C26" s="4" t="s">
        <v>270</v>
      </c>
      <c r="D26" s="4">
        <v>1.6</v>
      </c>
      <c r="E26" s="4">
        <f>D26*K36</f>
        <v>1520</v>
      </c>
      <c r="F26" s="4">
        <f>F14</f>
        <v>7388.9400000000005</v>
      </c>
      <c r="G26" s="77">
        <f t="shared" si="0"/>
        <v>8908.94</v>
      </c>
    </row>
    <row r="27" spans="1:7" ht="25.5" x14ac:dyDescent="0.2">
      <c r="A27" s="287"/>
      <c r="B27" s="289"/>
      <c r="C27" s="4" t="s">
        <v>271</v>
      </c>
      <c r="D27" s="4">
        <v>1.6</v>
      </c>
      <c r="E27" s="4">
        <f>D27*K36</f>
        <v>1520</v>
      </c>
      <c r="F27" s="4">
        <f>F15</f>
        <v>6661.6200000000008</v>
      </c>
      <c r="G27" s="77">
        <f t="shared" si="0"/>
        <v>8181.6200000000008</v>
      </c>
    </row>
    <row r="28" spans="1:7" ht="25.5" x14ac:dyDescent="0.2">
      <c r="A28" s="287" t="s">
        <v>101</v>
      </c>
      <c r="B28" s="318" t="s">
        <v>13</v>
      </c>
      <c r="C28" s="24" t="s">
        <v>23</v>
      </c>
      <c r="D28" s="24">
        <v>3.2</v>
      </c>
      <c r="E28" s="24">
        <f>D28*K36</f>
        <v>3040</v>
      </c>
      <c r="F28" s="24">
        <f>F12</f>
        <v>12683.81</v>
      </c>
      <c r="G28" s="77">
        <f t="shared" si="0"/>
        <v>15723.81</v>
      </c>
    </row>
    <row r="29" spans="1:7" ht="25.5" x14ac:dyDescent="0.2">
      <c r="A29" s="287"/>
      <c r="B29" s="318"/>
      <c r="C29" s="24" t="s">
        <v>24</v>
      </c>
      <c r="D29" s="24">
        <v>3.2</v>
      </c>
      <c r="E29" s="24">
        <f>D29*K36</f>
        <v>3040</v>
      </c>
      <c r="F29" s="24">
        <f>F13</f>
        <v>11956.49</v>
      </c>
      <c r="G29" s="77">
        <f t="shared" si="0"/>
        <v>14996.49</v>
      </c>
    </row>
    <row r="30" spans="1:7" ht="25.5" x14ac:dyDescent="0.2">
      <c r="A30" s="39" t="s">
        <v>14</v>
      </c>
      <c r="B30" s="4" t="s">
        <v>15</v>
      </c>
      <c r="C30" s="4" t="s">
        <v>254</v>
      </c>
      <c r="D30" s="4">
        <v>2</v>
      </c>
      <c r="E30" s="4">
        <f>D30*K36</f>
        <v>1900</v>
      </c>
      <c r="F30" s="4">
        <f>C37+C39+C50</f>
        <v>2082.65</v>
      </c>
      <c r="G30" s="77">
        <f t="shared" si="0"/>
        <v>3982.65</v>
      </c>
    </row>
    <row r="31" spans="1:7" ht="31.5" x14ac:dyDescent="0.2">
      <c r="A31" s="39" t="s">
        <v>16</v>
      </c>
      <c r="B31" s="24" t="s">
        <v>151</v>
      </c>
      <c r="C31" s="24" t="s">
        <v>17</v>
      </c>
      <c r="D31" s="24">
        <v>1.2</v>
      </c>
      <c r="E31" s="24">
        <f>D31*K36</f>
        <v>1140</v>
      </c>
      <c r="F31" s="24">
        <f>C39+C50</f>
        <v>1299.77</v>
      </c>
      <c r="G31" s="77">
        <f t="shared" si="0"/>
        <v>2439.77</v>
      </c>
    </row>
    <row r="32" spans="1:7" ht="39" thickBot="1" x14ac:dyDescent="0.25">
      <c r="A32" s="40" t="s">
        <v>249</v>
      </c>
      <c r="B32" s="33" t="s">
        <v>18</v>
      </c>
      <c r="C32" s="33" t="s">
        <v>18</v>
      </c>
      <c r="D32" s="33">
        <v>1.7</v>
      </c>
      <c r="E32" s="33">
        <f>D32*K36</f>
        <v>1615</v>
      </c>
      <c r="F32" s="33">
        <f>C49*10+C50+C51*10</f>
        <v>7300.2499999999991</v>
      </c>
      <c r="G32" s="86">
        <f t="shared" si="0"/>
        <v>8915.25</v>
      </c>
    </row>
    <row r="33" spans="2:11" ht="21.75" customHeight="1" thickBot="1" x14ac:dyDescent="0.25">
      <c r="B33" s="84" t="s">
        <v>49</v>
      </c>
      <c r="C33" s="151" t="s">
        <v>121</v>
      </c>
    </row>
    <row r="34" spans="2:11" ht="14.25" x14ac:dyDescent="0.2">
      <c r="B34" s="143" t="s">
        <v>155</v>
      </c>
      <c r="C34" s="125">
        <v>530.94000000000005</v>
      </c>
    </row>
    <row r="35" spans="2:11" ht="15" thickBot="1" x14ac:dyDescent="0.25">
      <c r="B35" s="120" t="s">
        <v>449</v>
      </c>
      <c r="C35" s="126">
        <v>630.12</v>
      </c>
    </row>
    <row r="36" spans="2:11" ht="15" thickBot="1" x14ac:dyDescent="0.25">
      <c r="B36" s="120" t="s">
        <v>465</v>
      </c>
      <c r="C36" s="130">
        <f>3621.2+1532</f>
        <v>5153.2</v>
      </c>
      <c r="D36" s="12"/>
      <c r="J36" s="118" t="s">
        <v>166</v>
      </c>
      <c r="K36" s="91">
        <v>950</v>
      </c>
    </row>
    <row r="37" spans="2:11" ht="14.25" x14ac:dyDescent="0.2">
      <c r="B37" s="120" t="s">
        <v>416</v>
      </c>
      <c r="C37" s="126">
        <v>782.88</v>
      </c>
      <c r="D37" s="12"/>
    </row>
    <row r="38" spans="2:11" ht="14.25" x14ac:dyDescent="0.2">
      <c r="B38" s="120" t="s">
        <v>458</v>
      </c>
      <c r="C38" s="126">
        <v>2902.44</v>
      </c>
      <c r="D38" s="12"/>
    </row>
    <row r="39" spans="2:11" ht="14.25" x14ac:dyDescent="0.2">
      <c r="B39" s="120" t="s">
        <v>459</v>
      </c>
      <c r="C39" s="126">
        <v>967.62</v>
      </c>
      <c r="D39" s="12"/>
    </row>
    <row r="40" spans="2:11" ht="14.25" x14ac:dyDescent="0.2">
      <c r="B40" s="120" t="s">
        <v>460</v>
      </c>
      <c r="C40" s="126">
        <v>1277.4000000000001</v>
      </c>
    </row>
    <row r="41" spans="2:11" ht="14.25" x14ac:dyDescent="0.2">
      <c r="B41" s="120" t="s">
        <v>445</v>
      </c>
      <c r="C41" s="144">
        <v>43.92</v>
      </c>
      <c r="D41" s="141"/>
    </row>
    <row r="42" spans="2:11" ht="14.25" x14ac:dyDescent="0.2">
      <c r="B42" s="120" t="s">
        <v>431</v>
      </c>
      <c r="C42" s="126">
        <v>213.24</v>
      </c>
    </row>
    <row r="43" spans="2:11" ht="14.25" x14ac:dyDescent="0.2">
      <c r="B43" s="120" t="s">
        <v>451</v>
      </c>
      <c r="C43" s="135">
        <v>188.16</v>
      </c>
    </row>
    <row r="44" spans="2:11" ht="14.25" x14ac:dyDescent="0.2">
      <c r="B44" s="120" t="s">
        <v>452</v>
      </c>
      <c r="C44" s="135">
        <v>260.60000000000002</v>
      </c>
    </row>
    <row r="45" spans="2:11" ht="14.25" x14ac:dyDescent="0.2">
      <c r="B45" s="120" t="s">
        <v>461</v>
      </c>
      <c r="C45" s="144">
        <v>248.4</v>
      </c>
    </row>
    <row r="46" spans="2:11" ht="14.25" x14ac:dyDescent="0.2">
      <c r="B46" s="120" t="s">
        <v>462</v>
      </c>
      <c r="C46" s="144">
        <v>996.4</v>
      </c>
    </row>
    <row r="47" spans="2:11" ht="14.25" x14ac:dyDescent="0.2">
      <c r="B47" s="120" t="s">
        <v>466</v>
      </c>
      <c r="C47" s="144">
        <v>1072.2</v>
      </c>
    </row>
    <row r="48" spans="2:11" ht="14.25" x14ac:dyDescent="0.2">
      <c r="B48" s="130" t="s">
        <v>435</v>
      </c>
      <c r="C48" s="126">
        <v>625.91999999999996</v>
      </c>
    </row>
    <row r="49" spans="2:3" ht="14.25" x14ac:dyDescent="0.2">
      <c r="B49" s="130" t="s">
        <v>436</v>
      </c>
      <c r="C49" s="126">
        <v>681.12</v>
      </c>
    </row>
    <row r="50" spans="2:3" ht="14.25" x14ac:dyDescent="0.2">
      <c r="B50" s="120" t="s">
        <v>464</v>
      </c>
      <c r="C50" s="144">
        <v>332.15</v>
      </c>
    </row>
    <row r="51" spans="2:3" ht="14.25" x14ac:dyDescent="0.2">
      <c r="B51" s="130" t="s">
        <v>438</v>
      </c>
      <c r="C51" s="126">
        <v>15.69</v>
      </c>
    </row>
  </sheetData>
  <sheetProtection algorithmName="SHA-512" hashValue="7IxBAODXW4ho4lP8s5FCPJf2ySh1mJHNfmEBsXFmvP7UNrCoNYaTiFtur5P95h/yV9N2siA5525DfpFsGgqLbQ==" saltValue="5g/ZCHcGtF92YF9Ot39MNw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7">
      <selection activeCell="E51" sqref="E51"/>
      <pageMargins left="0.25" right="0.25" top="0.75" bottom="0.75" header="0.3" footer="0.3"/>
      <pageSetup paperSize="9" scale="61" orientation="portrait" r:id="rId1"/>
      <headerFooter alignWithMargins="0"/>
    </customSheetView>
  </customSheetViews>
  <mergeCells count="21">
    <mergeCell ref="B10:B11"/>
    <mergeCell ref="A12:A13"/>
    <mergeCell ref="B12:B13"/>
    <mergeCell ref="A18:A19"/>
    <mergeCell ref="B18:B19"/>
    <mergeCell ref="A8:G8"/>
    <mergeCell ref="A26:A27"/>
    <mergeCell ref="B26:B27"/>
    <mergeCell ref="A28:A29"/>
    <mergeCell ref="B28:B29"/>
    <mergeCell ref="A22:A23"/>
    <mergeCell ref="B22:B23"/>
    <mergeCell ref="A24:A25"/>
    <mergeCell ref="B24:B25"/>
    <mergeCell ref="A20:A21"/>
    <mergeCell ref="B20:B21"/>
    <mergeCell ref="A14:A15"/>
    <mergeCell ref="B14:B15"/>
    <mergeCell ref="A16:A17"/>
    <mergeCell ref="B16:B17"/>
    <mergeCell ref="A10:A11"/>
  </mergeCells>
  <phoneticPr fontId="2" type="noConversion"/>
  <pageMargins left="0.25" right="0.25" top="0.75" bottom="0.75" header="0.3" footer="0.3"/>
  <pageSetup paperSize="9" scale="61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23" workbookViewId="0">
      <selection activeCell="E26" sqref="E26"/>
    </sheetView>
  </sheetViews>
  <sheetFormatPr defaultRowHeight="12.75" x14ac:dyDescent="0.2"/>
  <cols>
    <col min="1" max="1" width="14.140625" style="10" customWidth="1"/>
    <col min="2" max="2" width="33.140625" style="10" customWidth="1"/>
    <col min="3" max="3" width="36.42578125" style="10" customWidth="1"/>
    <col min="4" max="4" width="10.28515625" style="10" customWidth="1"/>
    <col min="5" max="5" width="15.85546875" style="10" customWidth="1"/>
    <col min="6" max="6" width="15.28515625" style="10" customWidth="1"/>
    <col min="7" max="7" width="14.5703125" style="10" customWidth="1"/>
    <col min="8" max="8" width="11.42578125" style="10" hidden="1" customWidth="1"/>
    <col min="9" max="10" width="9.140625" hidden="1" customWidth="1"/>
    <col min="11" max="11" width="0.140625" hidden="1" customWidth="1"/>
    <col min="12" max="12" width="10.42578125" hidden="1" customWidth="1"/>
    <col min="13" max="13" width="0.5703125" hidden="1" customWidth="1"/>
    <col min="14" max="14" width="9.140625" hidden="1" customWidth="1"/>
  </cols>
  <sheetData>
    <row r="1" spans="1:11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11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11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11" ht="15.75" hidden="1" x14ac:dyDescent="0.25">
      <c r="A4" s="12"/>
      <c r="B4" s="12"/>
      <c r="C4" s="12"/>
      <c r="D4" s="12"/>
      <c r="F4" s="44"/>
      <c r="G4" s="44"/>
      <c r="H4" s="44"/>
    </row>
    <row r="5" spans="1:11" ht="15.75" hidden="1" x14ac:dyDescent="0.25">
      <c r="A5" s="12"/>
      <c r="B5" s="12"/>
      <c r="C5" s="12"/>
      <c r="D5" s="12"/>
      <c r="F5" s="44"/>
      <c r="G5" s="44"/>
      <c r="H5" s="44"/>
    </row>
    <row r="6" spans="1:11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11" ht="15" hidden="1" x14ac:dyDescent="0.2">
      <c r="A7" s="12"/>
      <c r="B7" s="47"/>
      <c r="C7" s="47"/>
      <c r="D7" s="47"/>
      <c r="F7" s="45"/>
      <c r="G7" s="45"/>
      <c r="H7" s="45"/>
    </row>
    <row r="8" spans="1:11" ht="51.75" customHeight="1" thickBot="1" x14ac:dyDescent="0.25">
      <c r="A8" s="317" t="s">
        <v>383</v>
      </c>
      <c r="B8" s="324"/>
      <c r="C8" s="324"/>
      <c r="D8" s="324"/>
      <c r="E8" s="324"/>
      <c r="F8" s="324"/>
      <c r="G8" s="324"/>
      <c r="H8"/>
    </row>
    <row r="9" spans="1:11" ht="44.25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202" t="s">
        <v>87</v>
      </c>
      <c r="I9" s="203"/>
      <c r="J9" s="1"/>
      <c r="K9" s="1"/>
    </row>
    <row r="10" spans="1:11" ht="44.25" customHeight="1" x14ac:dyDescent="0.2">
      <c r="A10" s="88" t="s">
        <v>102</v>
      </c>
      <c r="B10" s="20" t="s">
        <v>8</v>
      </c>
      <c r="C10" s="20" t="s">
        <v>270</v>
      </c>
      <c r="D10" s="20">
        <v>1.6</v>
      </c>
      <c r="E10" s="20">
        <f>D10*K26</f>
        <v>1520</v>
      </c>
      <c r="F10" s="20">
        <f>C23+C24+C30+C31*39</f>
        <v>10308.060000000001</v>
      </c>
      <c r="G10" s="82">
        <f>F10+E10</f>
        <v>11828.060000000001</v>
      </c>
      <c r="I10" s="203"/>
    </row>
    <row r="11" spans="1:11" ht="25.5" customHeight="1" x14ac:dyDescent="0.2">
      <c r="A11" s="81" t="s">
        <v>103</v>
      </c>
      <c r="B11" s="24" t="s">
        <v>11</v>
      </c>
      <c r="C11" s="24" t="s">
        <v>22</v>
      </c>
      <c r="D11" s="24">
        <v>3.9</v>
      </c>
      <c r="E11" s="24">
        <f>D11*K26</f>
        <v>3705</v>
      </c>
      <c r="F11" s="24">
        <f>C23+C24+C27+C28+C29*6+C30+C31*39+C39*3</f>
        <v>17383.170000000002</v>
      </c>
      <c r="G11" s="83">
        <f t="shared" ref="G11:G19" si="0">E11+F11</f>
        <v>21088.170000000002</v>
      </c>
      <c r="I11" s="203"/>
    </row>
    <row r="12" spans="1:11" ht="25.5" x14ac:dyDescent="0.2">
      <c r="A12" s="81" t="s">
        <v>104</v>
      </c>
      <c r="B12" s="4" t="s">
        <v>8</v>
      </c>
      <c r="C12" s="4" t="s">
        <v>270</v>
      </c>
      <c r="D12" s="4">
        <v>1.6</v>
      </c>
      <c r="E12" s="4">
        <f>D12*K26</f>
        <v>1520</v>
      </c>
      <c r="F12" s="4">
        <f>F10</f>
        <v>10308.060000000001</v>
      </c>
      <c r="G12" s="83">
        <f t="shared" si="0"/>
        <v>11828.060000000001</v>
      </c>
      <c r="I12" s="203"/>
    </row>
    <row r="13" spans="1:11" ht="38.25" customHeight="1" x14ac:dyDescent="0.2">
      <c r="A13" s="81" t="s">
        <v>105</v>
      </c>
      <c r="B13" s="24" t="s">
        <v>153</v>
      </c>
      <c r="C13" s="24" t="s">
        <v>20</v>
      </c>
      <c r="D13" s="24">
        <v>3.4</v>
      </c>
      <c r="E13" s="24">
        <f>D13*K26</f>
        <v>3230</v>
      </c>
      <c r="F13" s="24">
        <f>C23+C24+C26+C27+C28+C30+C31*39+C33*12+C34*14+C39*3</f>
        <v>22409.49</v>
      </c>
      <c r="G13" s="83">
        <f t="shared" si="0"/>
        <v>25639.49</v>
      </c>
      <c r="I13" s="203"/>
    </row>
    <row r="14" spans="1:11" ht="25.5" x14ac:dyDescent="0.2">
      <c r="A14" s="81" t="s">
        <v>97</v>
      </c>
      <c r="B14" s="4" t="s">
        <v>8</v>
      </c>
      <c r="C14" s="4" t="s">
        <v>270</v>
      </c>
      <c r="D14" s="4">
        <v>1.6</v>
      </c>
      <c r="E14" s="4">
        <f>D14*K26</f>
        <v>1520</v>
      </c>
      <c r="F14" s="4">
        <f>F10</f>
        <v>10308.060000000001</v>
      </c>
      <c r="G14" s="83">
        <f t="shared" si="0"/>
        <v>11828.060000000001</v>
      </c>
      <c r="I14" s="203"/>
    </row>
    <row r="15" spans="1:11" ht="25.5" customHeight="1" x14ac:dyDescent="0.2">
      <c r="A15" s="81" t="s">
        <v>106</v>
      </c>
      <c r="B15" s="24" t="s">
        <v>12</v>
      </c>
      <c r="C15" s="24" t="s">
        <v>22</v>
      </c>
      <c r="D15" s="24">
        <v>3.9</v>
      </c>
      <c r="E15" s="24">
        <f>D15*K26</f>
        <v>3705</v>
      </c>
      <c r="F15" s="24">
        <f>F11</f>
        <v>17383.170000000002</v>
      </c>
      <c r="G15" s="83">
        <f t="shared" si="0"/>
        <v>21088.170000000002</v>
      </c>
      <c r="I15" s="203"/>
    </row>
    <row r="16" spans="1:11" ht="25.5" x14ac:dyDescent="0.2">
      <c r="A16" s="81" t="s">
        <v>107</v>
      </c>
      <c r="B16" s="4" t="s">
        <v>8</v>
      </c>
      <c r="C16" s="4" t="s">
        <v>270</v>
      </c>
      <c r="D16" s="4">
        <v>1.6</v>
      </c>
      <c r="E16" s="4">
        <f>D16*K26</f>
        <v>1520</v>
      </c>
      <c r="F16" s="4">
        <f>F10</f>
        <v>10308.060000000001</v>
      </c>
      <c r="G16" s="83">
        <f t="shared" si="0"/>
        <v>11828.060000000001</v>
      </c>
      <c r="I16" s="203"/>
    </row>
    <row r="17" spans="1:11" ht="38.25" customHeight="1" x14ac:dyDescent="0.2">
      <c r="A17" s="81" t="s">
        <v>108</v>
      </c>
      <c r="B17" s="24" t="s">
        <v>152</v>
      </c>
      <c r="C17" s="24" t="s">
        <v>20</v>
      </c>
      <c r="D17" s="24">
        <v>3.4</v>
      </c>
      <c r="E17" s="24">
        <f>D17*K26</f>
        <v>3230</v>
      </c>
      <c r="F17" s="24">
        <f>F13</f>
        <v>22409.49</v>
      </c>
      <c r="G17" s="83">
        <f t="shared" si="0"/>
        <v>25639.49</v>
      </c>
      <c r="I17" s="203"/>
    </row>
    <row r="18" spans="1:11" ht="33.75" customHeight="1" x14ac:dyDescent="0.2">
      <c r="A18" s="81" t="s">
        <v>14</v>
      </c>
      <c r="B18" s="4" t="s">
        <v>15</v>
      </c>
      <c r="C18" s="4" t="s">
        <v>254</v>
      </c>
      <c r="D18" s="4">
        <v>2</v>
      </c>
      <c r="E18" s="4">
        <f>D18*K26</f>
        <v>1900</v>
      </c>
      <c r="F18" s="4">
        <f>C26+C28+C39*3</f>
        <v>2594.19</v>
      </c>
      <c r="G18" s="83">
        <f t="shared" si="0"/>
        <v>4494.1900000000005</v>
      </c>
      <c r="I18" s="203"/>
    </row>
    <row r="19" spans="1:11" ht="33.75" customHeight="1" x14ac:dyDescent="0.2">
      <c r="A19" s="81" t="s">
        <v>16</v>
      </c>
      <c r="B19" s="24" t="s">
        <v>151</v>
      </c>
      <c r="C19" s="24" t="s">
        <v>17</v>
      </c>
      <c r="D19" s="24">
        <v>1.2</v>
      </c>
      <c r="E19" s="24">
        <f>D19*K26</f>
        <v>1140</v>
      </c>
      <c r="F19" s="24">
        <f>C28+C39*3</f>
        <v>1964.07</v>
      </c>
      <c r="G19" s="83">
        <f t="shared" si="0"/>
        <v>3104.0699999999997</v>
      </c>
      <c r="I19" s="203"/>
    </row>
    <row r="20" spans="1:11" ht="60.75" customHeight="1" thickBot="1" x14ac:dyDescent="0.25">
      <c r="A20" s="200" t="s">
        <v>249</v>
      </c>
      <c r="B20" s="33" t="s">
        <v>18</v>
      </c>
      <c r="C20" s="33" t="s">
        <v>18</v>
      </c>
      <c r="D20" s="33">
        <v>1.7</v>
      </c>
      <c r="E20" s="33">
        <f>D20*K26</f>
        <v>1615</v>
      </c>
      <c r="F20" s="33">
        <f>C38*22+C40*20+C37</f>
        <v>15924.359999999999</v>
      </c>
      <c r="G20" s="201">
        <f>E20+F20</f>
        <v>17539.36</v>
      </c>
      <c r="I20" s="203"/>
    </row>
    <row r="21" spans="1:11" ht="13.5" thickBot="1" x14ac:dyDescent="0.25">
      <c r="B21" s="322" t="s">
        <v>180</v>
      </c>
      <c r="C21" s="323"/>
    </row>
    <row r="22" spans="1:11" ht="18.75" thickBot="1" x14ac:dyDescent="0.25">
      <c r="B22" s="198" t="s">
        <v>49</v>
      </c>
      <c r="C22" s="199" t="s">
        <v>121</v>
      </c>
    </row>
    <row r="23" spans="1:11" ht="14.25" x14ac:dyDescent="0.2">
      <c r="B23" s="129" t="s">
        <v>155</v>
      </c>
      <c r="C23" s="197">
        <v>1088.4000000000001</v>
      </c>
    </row>
    <row r="24" spans="1:11" ht="22.5" customHeight="1" x14ac:dyDescent="0.2">
      <c r="B24" s="130" t="s">
        <v>449</v>
      </c>
      <c r="C24" s="197">
        <v>889.08</v>
      </c>
    </row>
    <row r="25" spans="1:11" ht="15" thickBot="1" x14ac:dyDescent="0.25">
      <c r="B25" s="130" t="s">
        <v>450</v>
      </c>
      <c r="C25" s="197">
        <v>7408.86</v>
      </c>
    </row>
    <row r="26" spans="1:11" ht="26.25" thickBot="1" x14ac:dyDescent="0.25">
      <c r="B26" s="130" t="s">
        <v>416</v>
      </c>
      <c r="C26" s="197">
        <v>630.12</v>
      </c>
      <c r="J26" s="118" t="s">
        <v>166</v>
      </c>
      <c r="K26" s="91">
        <v>950</v>
      </c>
    </row>
    <row r="27" spans="1:11" ht="14.25" x14ac:dyDescent="0.2">
      <c r="B27" s="120" t="s">
        <v>458</v>
      </c>
      <c r="C27" s="126">
        <v>2902.44</v>
      </c>
      <c r="D27" s="12"/>
    </row>
    <row r="28" spans="1:11" ht="14.25" x14ac:dyDescent="0.2">
      <c r="B28" s="120" t="s">
        <v>459</v>
      </c>
      <c r="C28" s="126">
        <v>967.62</v>
      </c>
      <c r="D28" s="12"/>
    </row>
    <row r="29" spans="1:11" ht="14.25" x14ac:dyDescent="0.2">
      <c r="B29" s="130" t="s">
        <v>460</v>
      </c>
      <c r="C29" s="197">
        <v>368.1</v>
      </c>
    </row>
    <row r="30" spans="1:11" ht="14.25" x14ac:dyDescent="0.2">
      <c r="B30" s="148" t="s">
        <v>445</v>
      </c>
      <c r="C30" s="197">
        <v>14.22</v>
      </c>
    </row>
    <row r="31" spans="1:11" ht="14.25" x14ac:dyDescent="0.2">
      <c r="B31" s="120" t="s">
        <v>431</v>
      </c>
      <c r="C31" s="126">
        <v>213.24</v>
      </c>
    </row>
    <row r="32" spans="1:11" ht="14.25" x14ac:dyDescent="0.2">
      <c r="B32" s="120" t="s">
        <v>451</v>
      </c>
      <c r="C32" s="135">
        <v>188.16</v>
      </c>
    </row>
    <row r="33" spans="2:3" ht="14.25" x14ac:dyDescent="0.2">
      <c r="B33" s="120" t="s">
        <v>452</v>
      </c>
      <c r="C33" s="135">
        <v>260.60000000000002</v>
      </c>
    </row>
    <row r="34" spans="2:3" ht="14.25" x14ac:dyDescent="0.2">
      <c r="B34" s="120" t="s">
        <v>461</v>
      </c>
      <c r="C34" s="144">
        <v>248.4</v>
      </c>
    </row>
    <row r="35" spans="2:3" ht="14.25" x14ac:dyDescent="0.2">
      <c r="B35" s="120" t="s">
        <v>462</v>
      </c>
      <c r="C35" s="144">
        <v>996.4</v>
      </c>
    </row>
    <row r="36" spans="2:3" ht="14.25" x14ac:dyDescent="0.2">
      <c r="B36" s="120" t="s">
        <v>466</v>
      </c>
      <c r="C36" s="144">
        <v>1072.2</v>
      </c>
    </row>
    <row r="37" spans="2:3" ht="14.25" x14ac:dyDescent="0.2">
      <c r="B37" s="130" t="s">
        <v>435</v>
      </c>
      <c r="C37" s="126">
        <v>625.91999999999996</v>
      </c>
    </row>
    <row r="38" spans="2:3" ht="14.25" x14ac:dyDescent="0.2">
      <c r="B38" s="130" t="s">
        <v>436</v>
      </c>
      <c r="C38" s="126">
        <v>681.12</v>
      </c>
    </row>
    <row r="39" spans="2:3" ht="14.25" x14ac:dyDescent="0.2">
      <c r="B39" s="120" t="s">
        <v>391</v>
      </c>
      <c r="C39" s="144">
        <v>332.15</v>
      </c>
    </row>
    <row r="40" spans="2:3" ht="14.25" x14ac:dyDescent="0.2">
      <c r="B40" s="130" t="s">
        <v>438</v>
      </c>
      <c r="C40" s="126">
        <v>15.69</v>
      </c>
    </row>
  </sheetData>
  <sheetProtection algorithmName="SHA-512" hashValue="5AWbDvwUQE2SPd7BA4UWfmzpOFj1/nVZbuAK7dYVTZsthGutZrKcEehlo+oO1gIftoWMhbXQwDkPsCkjpcxnzw==" saltValue="P7xU5cGa9Cm1zd3v7eLaTQ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3">
      <selection activeCell="E26" sqref="E26"/>
      <pageMargins left="0.25" right="0.25" top="0.75" bottom="0.75" header="0.3" footer="0.3"/>
      <pageSetup paperSize="9" scale="66" orientation="portrait" r:id="rId1"/>
      <headerFooter alignWithMargins="0"/>
    </customSheetView>
  </customSheetViews>
  <mergeCells count="2">
    <mergeCell ref="B21:C21"/>
    <mergeCell ref="A8:G8"/>
  </mergeCells>
  <phoneticPr fontId="2" type="noConversion"/>
  <pageMargins left="0.25" right="0.25" top="0.75" bottom="0.75" header="0.3" footer="0.3"/>
  <pageSetup paperSize="9" scale="66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opLeftCell="A16" workbookViewId="0">
      <selection activeCell="E37" sqref="E37"/>
    </sheetView>
  </sheetViews>
  <sheetFormatPr defaultRowHeight="12.75" x14ac:dyDescent="0.2"/>
  <cols>
    <col min="1" max="1" width="11.85546875" style="10" customWidth="1"/>
    <col min="2" max="2" width="31" style="10" customWidth="1"/>
    <col min="3" max="3" width="31.140625" style="10" customWidth="1"/>
    <col min="4" max="4" width="10" style="10" customWidth="1"/>
    <col min="5" max="5" width="16.140625" style="10" customWidth="1"/>
    <col min="6" max="6" width="14.42578125" style="10" customWidth="1"/>
    <col min="7" max="7" width="14.7109375" style="10" customWidth="1"/>
    <col min="8" max="8" width="19.28515625" style="10" hidden="1" customWidth="1"/>
    <col min="9" max="9" width="10.7109375" hidden="1" customWidth="1"/>
    <col min="10" max="10" width="24" hidden="1" customWidth="1"/>
    <col min="11" max="11" width="11.140625" hidden="1" customWidth="1"/>
    <col min="12" max="12" width="7.85546875" hidden="1" customWidth="1"/>
    <col min="13" max="13" width="11.42578125" hidden="1" customWidth="1"/>
    <col min="14" max="14" width="9.28515625" customWidth="1"/>
    <col min="15" max="15" width="36.7109375" hidden="1" customWidth="1"/>
  </cols>
  <sheetData>
    <row r="1" spans="1:8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F4" s="44"/>
      <c r="G4" s="44"/>
      <c r="H4" s="44"/>
    </row>
    <row r="5" spans="1:8" ht="15.75" hidden="1" x14ac:dyDescent="0.25">
      <c r="A5" s="12"/>
      <c r="B5" s="12"/>
      <c r="C5" s="12"/>
      <c r="D5" s="12"/>
      <c r="F5" s="44"/>
      <c r="G5" s="44"/>
      <c r="H5" s="44"/>
    </row>
    <row r="6" spans="1:8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8" ht="30.75" customHeight="1" x14ac:dyDescent="0.2">
      <c r="A7" s="283" t="s">
        <v>368</v>
      </c>
      <c r="B7" s="329"/>
      <c r="C7" s="329"/>
      <c r="D7" s="329"/>
      <c r="E7" s="329"/>
      <c r="F7" s="329"/>
      <c r="G7" s="329"/>
      <c r="H7" s="45"/>
    </row>
    <row r="8" spans="1:8" ht="30" customHeight="1" thickBot="1" x14ac:dyDescent="0.25">
      <c r="A8" s="324"/>
      <c r="B8" s="324"/>
      <c r="C8" s="324"/>
      <c r="D8" s="324"/>
      <c r="E8" s="324"/>
      <c r="F8" s="324"/>
      <c r="G8" s="324"/>
      <c r="H8"/>
    </row>
    <row r="9" spans="1:8" ht="46.5" customHeight="1" thickBot="1" x14ac:dyDescent="0.25">
      <c r="A9" s="92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93" t="s">
        <v>214</v>
      </c>
    </row>
    <row r="10" spans="1:8" ht="26.25" customHeight="1" x14ac:dyDescent="0.2">
      <c r="A10" s="328" t="s">
        <v>125</v>
      </c>
      <c r="B10" s="325" t="s">
        <v>30</v>
      </c>
      <c r="C10" s="20" t="s">
        <v>45</v>
      </c>
      <c r="D10" s="20">
        <v>1.6</v>
      </c>
      <c r="E10" s="20">
        <f>D10*K29</f>
        <v>1520</v>
      </c>
      <c r="F10" s="20">
        <f>C28+C47+C37*36</f>
        <v>8697.5400000000009</v>
      </c>
      <c r="G10" s="69">
        <f t="shared" ref="G10:G25" si="0">E10+F10</f>
        <v>10217.540000000001</v>
      </c>
    </row>
    <row r="11" spans="1:8" ht="24" customHeight="1" x14ac:dyDescent="0.2">
      <c r="A11" s="328"/>
      <c r="B11" s="326"/>
      <c r="C11" s="4" t="s">
        <v>46</v>
      </c>
      <c r="D11" s="4">
        <v>1.6</v>
      </c>
      <c r="E11" s="4">
        <f>D11*K29</f>
        <v>1520</v>
      </c>
      <c r="F11" s="4">
        <f>C28+C47+C38*36</f>
        <v>7794.66</v>
      </c>
      <c r="G11" s="35">
        <f t="shared" si="0"/>
        <v>9314.66</v>
      </c>
    </row>
    <row r="12" spans="1:8" ht="24.75" customHeight="1" x14ac:dyDescent="0.2">
      <c r="A12" s="328"/>
      <c r="B12" s="95" t="s">
        <v>39</v>
      </c>
      <c r="C12" s="24" t="s">
        <v>43</v>
      </c>
      <c r="D12" s="24">
        <f>0.8+0.6</f>
        <v>1.4</v>
      </c>
      <c r="E12" s="24">
        <f>D12*K29</f>
        <v>1330</v>
      </c>
      <c r="F12" s="24">
        <f>C29</f>
        <v>889.08</v>
      </c>
      <c r="G12" s="35">
        <f t="shared" si="0"/>
        <v>2219.08</v>
      </c>
    </row>
    <row r="13" spans="1:8" ht="29.25" customHeight="1" x14ac:dyDescent="0.2">
      <c r="A13" s="328"/>
      <c r="B13" s="27" t="s">
        <v>40</v>
      </c>
      <c r="C13" s="4" t="s">
        <v>251</v>
      </c>
      <c r="D13" s="4">
        <f>0.8+0.6+1.3</f>
        <v>2.7</v>
      </c>
      <c r="E13" s="4">
        <f>D13*K29</f>
        <v>2565</v>
      </c>
      <c r="F13" s="4">
        <f>C29+C34*6</f>
        <v>3097.6800000000003</v>
      </c>
      <c r="G13" s="35">
        <f t="shared" si="0"/>
        <v>5662.68</v>
      </c>
    </row>
    <row r="14" spans="1:8" ht="23.25" customHeight="1" x14ac:dyDescent="0.2">
      <c r="A14" s="328"/>
      <c r="B14" s="327" t="s">
        <v>31</v>
      </c>
      <c r="C14" s="24" t="s">
        <v>252</v>
      </c>
      <c r="D14" s="24">
        <v>1.2</v>
      </c>
      <c r="E14" s="24">
        <f>D14*K29</f>
        <v>1140</v>
      </c>
      <c r="F14" s="24">
        <f>C40*15</f>
        <v>3726</v>
      </c>
      <c r="G14" s="35">
        <f t="shared" si="0"/>
        <v>4866</v>
      </c>
    </row>
    <row r="15" spans="1:8" ht="21" customHeight="1" x14ac:dyDescent="0.2">
      <c r="A15" s="328"/>
      <c r="B15" s="327"/>
      <c r="C15" s="24" t="s">
        <v>253</v>
      </c>
      <c r="D15" s="24">
        <v>1.2</v>
      </c>
      <c r="E15" s="24">
        <f>D15*K29</f>
        <v>1140</v>
      </c>
      <c r="F15" s="24">
        <f>C41*14</f>
        <v>13949.6</v>
      </c>
      <c r="G15" s="35">
        <f t="shared" si="0"/>
        <v>15089.6</v>
      </c>
    </row>
    <row r="16" spans="1:8" ht="24.75" customHeight="1" x14ac:dyDescent="0.2">
      <c r="A16" s="328"/>
      <c r="B16" s="27" t="s">
        <v>32</v>
      </c>
      <c r="C16" s="4" t="s">
        <v>47</v>
      </c>
      <c r="D16" s="4">
        <v>2.6</v>
      </c>
      <c r="E16" s="4">
        <f>D16*K29</f>
        <v>2470</v>
      </c>
      <c r="F16" s="4">
        <f>C39*40</f>
        <v>10424</v>
      </c>
      <c r="G16" s="35">
        <f t="shared" si="0"/>
        <v>12894</v>
      </c>
    </row>
    <row r="17" spans="1:11" ht="27" customHeight="1" x14ac:dyDescent="0.2">
      <c r="A17" s="328"/>
      <c r="B17" s="95" t="s">
        <v>33</v>
      </c>
      <c r="C17" s="140" t="s">
        <v>243</v>
      </c>
      <c r="D17" s="24">
        <v>1.3</v>
      </c>
      <c r="E17" s="24">
        <f>D17*K29</f>
        <v>1235</v>
      </c>
      <c r="F17" s="24">
        <f>C44*21+C46*20</f>
        <v>14617.32</v>
      </c>
      <c r="G17" s="35">
        <f t="shared" si="0"/>
        <v>15852.32</v>
      </c>
    </row>
    <row r="18" spans="1:11" ht="27" customHeight="1" x14ac:dyDescent="0.2">
      <c r="A18" s="328"/>
      <c r="B18" s="27" t="s">
        <v>34</v>
      </c>
      <c r="C18" s="4" t="s">
        <v>27</v>
      </c>
      <c r="D18" s="4">
        <v>1</v>
      </c>
      <c r="E18" s="4">
        <f>D18*K29</f>
        <v>950</v>
      </c>
      <c r="F18" s="4">
        <f>C33</f>
        <v>967.62</v>
      </c>
      <c r="G18" s="35">
        <f t="shared" si="0"/>
        <v>1917.62</v>
      </c>
    </row>
    <row r="19" spans="1:11" ht="26.25" customHeight="1" x14ac:dyDescent="0.2">
      <c r="A19" s="328"/>
      <c r="B19" s="95" t="s">
        <v>35</v>
      </c>
      <c r="C19" s="24" t="s">
        <v>42</v>
      </c>
      <c r="D19" s="24">
        <v>1</v>
      </c>
      <c r="E19" s="24">
        <f>D19*K29</f>
        <v>950</v>
      </c>
      <c r="F19" s="24">
        <f>C30*2</f>
        <v>14817.72</v>
      </c>
      <c r="G19" s="35">
        <f t="shared" si="0"/>
        <v>15767.72</v>
      </c>
    </row>
    <row r="20" spans="1:11" ht="29.25" customHeight="1" x14ac:dyDescent="0.2">
      <c r="A20" s="328"/>
      <c r="B20" s="27" t="s">
        <v>36</v>
      </c>
      <c r="C20" s="4" t="s">
        <v>51</v>
      </c>
      <c r="D20" s="4">
        <v>2.1</v>
      </c>
      <c r="E20" s="89">
        <f>D20*K29</f>
        <v>1995</v>
      </c>
      <c r="F20" s="4">
        <f>C35</f>
        <v>4507.68</v>
      </c>
      <c r="G20" s="35">
        <f t="shared" si="0"/>
        <v>6502.68</v>
      </c>
    </row>
    <row r="21" spans="1:11" ht="27.75" customHeight="1" x14ac:dyDescent="0.2">
      <c r="A21" s="96"/>
      <c r="B21" s="95" t="s">
        <v>36</v>
      </c>
      <c r="C21" s="24" t="s">
        <v>52</v>
      </c>
      <c r="D21" s="24">
        <v>2.2000000000000002</v>
      </c>
      <c r="E21" s="24">
        <f>D21*K29</f>
        <v>2090</v>
      </c>
      <c r="F21" s="24">
        <f>C35</f>
        <v>4507.68</v>
      </c>
      <c r="G21" s="35">
        <f t="shared" si="0"/>
        <v>6597.68</v>
      </c>
    </row>
    <row r="22" spans="1:11" ht="31.5" x14ac:dyDescent="0.2">
      <c r="A22" s="61" t="s">
        <v>14</v>
      </c>
      <c r="B22" s="4" t="s">
        <v>15</v>
      </c>
      <c r="C22" s="4" t="s">
        <v>254</v>
      </c>
      <c r="D22" s="4">
        <v>1.6</v>
      </c>
      <c r="E22" s="4">
        <f>D22*K29</f>
        <v>1520</v>
      </c>
      <c r="F22" s="4">
        <f>C31+C33+C45*4</f>
        <v>3881.12</v>
      </c>
      <c r="G22" s="35">
        <f t="shared" si="0"/>
        <v>5401.12</v>
      </c>
    </row>
    <row r="23" spans="1:11" ht="38.25" x14ac:dyDescent="0.2">
      <c r="A23" s="287" t="s">
        <v>16</v>
      </c>
      <c r="B23" s="24" t="s">
        <v>151</v>
      </c>
      <c r="C23" s="24" t="s">
        <v>17</v>
      </c>
      <c r="D23" s="24">
        <v>1.6</v>
      </c>
      <c r="E23" s="24">
        <f>D23*K29</f>
        <v>1520</v>
      </c>
      <c r="F23" s="24">
        <f>C33+C45*4</f>
        <v>2296.2199999999998</v>
      </c>
      <c r="G23" s="35">
        <f t="shared" si="0"/>
        <v>3816.22</v>
      </c>
    </row>
    <row r="24" spans="1:11" ht="15.75" x14ac:dyDescent="0.2">
      <c r="A24" s="287"/>
      <c r="B24" s="4" t="s">
        <v>250</v>
      </c>
      <c r="C24" s="4" t="s">
        <v>255</v>
      </c>
      <c r="D24" s="4">
        <v>10.199999999999999</v>
      </c>
      <c r="E24" s="4">
        <f>D24*K29</f>
        <v>9690</v>
      </c>
      <c r="F24" s="4">
        <f>C36*4</f>
        <v>11585.76</v>
      </c>
      <c r="G24" s="35">
        <f t="shared" si="0"/>
        <v>21275.760000000002</v>
      </c>
    </row>
    <row r="25" spans="1:11" ht="39" thickBot="1" x14ac:dyDescent="0.25">
      <c r="A25" s="40" t="s">
        <v>249</v>
      </c>
      <c r="B25" s="64" t="s">
        <v>18</v>
      </c>
      <c r="C25" s="64" t="s">
        <v>18</v>
      </c>
      <c r="D25" s="64">
        <v>1.7</v>
      </c>
      <c r="E25" s="64">
        <f>D25*K29</f>
        <v>1615</v>
      </c>
      <c r="F25" s="64">
        <f>C46*20+C44*21+C43</f>
        <v>15243.24</v>
      </c>
      <c r="G25" s="37">
        <f t="shared" si="0"/>
        <v>16858.239999999998</v>
      </c>
    </row>
    <row r="26" spans="1:11" ht="13.5" thickBot="1" x14ac:dyDescent="0.25"/>
    <row r="27" spans="1:11" ht="16.5" thickBot="1" x14ac:dyDescent="0.25">
      <c r="B27" s="90" t="s">
        <v>49</v>
      </c>
      <c r="C27" s="112" t="s">
        <v>121</v>
      </c>
    </row>
    <row r="28" spans="1:11" ht="15" thickBot="1" x14ac:dyDescent="0.25">
      <c r="B28" s="143" t="s">
        <v>155</v>
      </c>
      <c r="C28" s="153">
        <v>984.9</v>
      </c>
    </row>
    <row r="29" spans="1:11" ht="15" thickBot="1" x14ac:dyDescent="0.25">
      <c r="B29" s="130" t="s">
        <v>449</v>
      </c>
      <c r="C29" s="197">
        <v>889.08</v>
      </c>
      <c r="J29" s="118" t="s">
        <v>166</v>
      </c>
      <c r="K29" s="91">
        <v>950</v>
      </c>
    </row>
    <row r="30" spans="1:11" ht="14.25" x14ac:dyDescent="0.2">
      <c r="B30" s="120" t="s">
        <v>467</v>
      </c>
      <c r="C30" s="149">
        <v>7408.86</v>
      </c>
    </row>
    <row r="31" spans="1:11" ht="14.25" x14ac:dyDescent="0.2">
      <c r="B31" s="120" t="s">
        <v>416</v>
      </c>
      <c r="C31" s="149">
        <v>1584.9</v>
      </c>
    </row>
    <row r="32" spans="1:11" ht="14.25" x14ac:dyDescent="0.2">
      <c r="B32" s="120" t="s">
        <v>458</v>
      </c>
      <c r="C32" s="126">
        <v>2902.44</v>
      </c>
      <c r="D32" s="12"/>
    </row>
    <row r="33" spans="2:4" ht="14.25" x14ac:dyDescent="0.2">
      <c r="B33" s="120" t="s">
        <v>459</v>
      </c>
      <c r="C33" s="126">
        <v>967.62</v>
      </c>
      <c r="D33" s="12"/>
    </row>
    <row r="34" spans="2:4" ht="14.25" x14ac:dyDescent="0.2">
      <c r="B34" s="130" t="s">
        <v>460</v>
      </c>
      <c r="C34" s="197">
        <v>368.1</v>
      </c>
    </row>
    <row r="35" spans="2:4" ht="14.25" x14ac:dyDescent="0.2">
      <c r="B35" s="121" t="s">
        <v>468</v>
      </c>
      <c r="C35" s="149">
        <v>4507.68</v>
      </c>
    </row>
    <row r="36" spans="2:4" ht="14.25" x14ac:dyDescent="0.2">
      <c r="B36" s="121" t="s">
        <v>470</v>
      </c>
      <c r="C36" s="144">
        <v>2896.44</v>
      </c>
    </row>
    <row r="37" spans="2:4" ht="14.25" x14ac:dyDescent="0.2">
      <c r="B37" s="120" t="s">
        <v>431</v>
      </c>
      <c r="C37" s="126">
        <v>213.24</v>
      </c>
    </row>
    <row r="38" spans="2:4" ht="14.25" x14ac:dyDescent="0.2">
      <c r="B38" s="120" t="s">
        <v>451</v>
      </c>
      <c r="C38" s="135">
        <v>188.16</v>
      </c>
    </row>
    <row r="39" spans="2:4" ht="14.25" x14ac:dyDescent="0.2">
      <c r="B39" s="120" t="s">
        <v>452</v>
      </c>
      <c r="C39" s="135">
        <v>260.60000000000002</v>
      </c>
    </row>
    <row r="40" spans="2:4" ht="14.25" x14ac:dyDescent="0.2">
      <c r="B40" s="120" t="s">
        <v>461</v>
      </c>
      <c r="C40" s="144">
        <v>248.4</v>
      </c>
    </row>
    <row r="41" spans="2:4" ht="14.25" x14ac:dyDescent="0.2">
      <c r="B41" s="120" t="s">
        <v>462</v>
      </c>
      <c r="C41" s="144">
        <v>996.4</v>
      </c>
    </row>
    <row r="42" spans="2:4" ht="14.25" x14ac:dyDescent="0.2">
      <c r="B42" s="120" t="s">
        <v>466</v>
      </c>
      <c r="C42" s="144">
        <v>1072.2</v>
      </c>
    </row>
    <row r="43" spans="2:4" ht="14.25" x14ac:dyDescent="0.2">
      <c r="B43" s="130" t="s">
        <v>435</v>
      </c>
      <c r="C43" s="126">
        <v>625.91999999999996</v>
      </c>
    </row>
    <row r="44" spans="2:4" ht="28.5" x14ac:dyDescent="0.2">
      <c r="B44" s="130" t="s">
        <v>436</v>
      </c>
      <c r="C44" s="126">
        <v>681.12</v>
      </c>
    </row>
    <row r="45" spans="2:4" ht="14.25" x14ac:dyDescent="0.2">
      <c r="B45" s="120" t="s">
        <v>391</v>
      </c>
      <c r="C45" s="144">
        <v>332.15</v>
      </c>
    </row>
    <row r="46" spans="2:4" ht="14.25" x14ac:dyDescent="0.2">
      <c r="B46" s="130" t="s">
        <v>469</v>
      </c>
      <c r="C46" s="126">
        <v>15.69</v>
      </c>
    </row>
    <row r="47" spans="2:4" ht="15" thickBot="1" x14ac:dyDescent="0.25">
      <c r="B47" s="155" t="s">
        <v>48</v>
      </c>
      <c r="C47" s="150">
        <v>36</v>
      </c>
    </row>
  </sheetData>
  <sheetProtection algorithmName="SHA-512" hashValue="HnY2LWFfCF7Szs/K0HZ6Uc88yO2X15AW/dabLWhPmgG2XNLZSEN9DFNqnddVtKi9k6PNX4YrGoftlFF0DI/Fag==" saltValue="P+fudb8JtVPjET+xdfhs4Q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16">
      <selection activeCell="E37" sqref="E37"/>
      <pageMargins left="0.25" right="0.25" top="0.75" bottom="0.75" header="0.3" footer="0.3"/>
      <pageSetup paperSize="9" scale="68" orientation="portrait" r:id="rId1"/>
      <headerFooter alignWithMargins="0"/>
    </customSheetView>
  </customSheetViews>
  <mergeCells count="5">
    <mergeCell ref="A23:A24"/>
    <mergeCell ref="B10:B11"/>
    <mergeCell ref="B14:B15"/>
    <mergeCell ref="A10:A20"/>
    <mergeCell ref="A7:G8"/>
  </mergeCells>
  <phoneticPr fontId="2" type="noConversion"/>
  <pageMargins left="0.25" right="0.25" top="0.75" bottom="0.75" header="0.3" footer="0.3"/>
  <pageSetup paperSize="9" scale="68" orientation="portrait" r:id="rId2"/>
  <headerFooter alignWithMargins="0"/>
  <ignoredErrors>
    <ignoredError sqref="F19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opLeftCell="A8" workbookViewId="0">
      <selection activeCell="C51" sqref="C51"/>
    </sheetView>
  </sheetViews>
  <sheetFormatPr defaultRowHeight="12.75" x14ac:dyDescent="0.2"/>
  <cols>
    <col min="1" max="1" width="10.5703125" style="10" customWidth="1"/>
    <col min="2" max="2" width="36" style="10" customWidth="1"/>
    <col min="3" max="3" width="31.42578125" style="10" customWidth="1"/>
    <col min="4" max="4" width="9.5703125" style="10" customWidth="1"/>
    <col min="5" max="5" width="16" style="10" customWidth="1"/>
    <col min="6" max="6" width="14.42578125" style="10" customWidth="1"/>
    <col min="7" max="7" width="17.85546875" style="10" customWidth="1"/>
    <col min="8" max="8" width="14.140625" style="10" hidden="1" customWidth="1"/>
    <col min="9" max="10" width="9.140625" hidden="1" customWidth="1"/>
    <col min="11" max="11" width="7.28515625" hidden="1" customWidth="1"/>
    <col min="12" max="13" width="0.85546875" customWidth="1"/>
  </cols>
  <sheetData>
    <row r="1" spans="1:8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F4" s="44"/>
      <c r="G4" s="44"/>
      <c r="H4" s="44"/>
    </row>
    <row r="5" spans="1:8" ht="15.75" hidden="1" x14ac:dyDescent="0.25">
      <c r="A5" s="12"/>
      <c r="B5" s="12"/>
      <c r="C5" s="12"/>
      <c r="D5" s="12"/>
      <c r="F5" s="44"/>
      <c r="G5" s="44"/>
      <c r="H5" s="44"/>
    </row>
    <row r="6" spans="1:8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8" ht="15" hidden="1" x14ac:dyDescent="0.2">
      <c r="A7" s="12"/>
      <c r="B7" s="47"/>
      <c r="C7" s="47"/>
      <c r="D7" s="47"/>
      <c r="F7" s="45"/>
      <c r="G7" s="45"/>
      <c r="H7" s="45"/>
    </row>
    <row r="8" spans="1:8" ht="52.5" customHeight="1" thickBot="1" x14ac:dyDescent="0.25">
      <c r="A8" s="317" t="s">
        <v>369</v>
      </c>
      <c r="B8" s="324"/>
      <c r="C8" s="324"/>
      <c r="D8" s="324"/>
      <c r="E8" s="324"/>
      <c r="F8" s="324"/>
      <c r="G8" s="324"/>
      <c r="H8"/>
    </row>
    <row r="9" spans="1:8" ht="32.25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88</v>
      </c>
    </row>
    <row r="10" spans="1:8" ht="27.75" customHeight="1" x14ac:dyDescent="0.2">
      <c r="A10" s="332" t="s">
        <v>125</v>
      </c>
      <c r="B10" s="330" t="s">
        <v>30</v>
      </c>
      <c r="C10" s="68" t="s">
        <v>37</v>
      </c>
      <c r="D10" s="68">
        <v>1.6</v>
      </c>
      <c r="E10" s="68">
        <f>D10*K29</f>
        <v>1520</v>
      </c>
      <c r="F10" s="68">
        <f>C29+C48+C38*32</f>
        <v>8119.26</v>
      </c>
      <c r="G10" s="85">
        <f t="shared" ref="G10:G16" si="0">E10+F10</f>
        <v>9639.26</v>
      </c>
    </row>
    <row r="11" spans="1:8" ht="21.75" customHeight="1" x14ac:dyDescent="0.2">
      <c r="A11" s="333"/>
      <c r="B11" s="319"/>
      <c r="C11" s="4" t="s">
        <v>38</v>
      </c>
      <c r="D11" s="4">
        <v>1.6</v>
      </c>
      <c r="E11" s="4">
        <f>D11*K29</f>
        <v>1520</v>
      </c>
      <c r="F11" s="4">
        <f>C29+C48+C39*32</f>
        <v>7316.7</v>
      </c>
      <c r="G11" s="77">
        <f t="shared" si="0"/>
        <v>8836.7000000000007</v>
      </c>
    </row>
    <row r="12" spans="1:8" ht="24.75" customHeight="1" x14ac:dyDescent="0.2">
      <c r="A12" s="333"/>
      <c r="B12" s="4" t="s">
        <v>39</v>
      </c>
      <c r="C12" s="4" t="s">
        <v>43</v>
      </c>
      <c r="D12" s="4">
        <f>0.8+0.6</f>
        <v>1.4</v>
      </c>
      <c r="E12" s="4">
        <f>D12*K29</f>
        <v>1330</v>
      </c>
      <c r="F12" s="4">
        <f>C30</f>
        <v>915.6</v>
      </c>
      <c r="G12" s="77">
        <f t="shared" si="0"/>
        <v>2245.6</v>
      </c>
    </row>
    <row r="13" spans="1:8" ht="29.25" customHeight="1" x14ac:dyDescent="0.2">
      <c r="A13" s="333"/>
      <c r="B13" s="4" t="s">
        <v>40</v>
      </c>
      <c r="C13" s="4" t="s">
        <v>251</v>
      </c>
      <c r="D13" s="4">
        <f>0.8+0.6+1.3</f>
        <v>2.7</v>
      </c>
      <c r="E13" s="4">
        <f>D13*K29</f>
        <v>2565</v>
      </c>
      <c r="F13" s="4">
        <f>C30+C35*6</f>
        <v>3124.2000000000003</v>
      </c>
      <c r="G13" s="77">
        <f t="shared" si="0"/>
        <v>5689.2000000000007</v>
      </c>
    </row>
    <row r="14" spans="1:8" ht="18" customHeight="1" x14ac:dyDescent="0.2">
      <c r="A14" s="333"/>
      <c r="B14" s="331" t="s">
        <v>31</v>
      </c>
      <c r="C14" s="4" t="s">
        <v>252</v>
      </c>
      <c r="D14" s="4">
        <v>1.2</v>
      </c>
      <c r="E14" s="4">
        <f>D14*K29</f>
        <v>1140</v>
      </c>
      <c r="F14" s="4">
        <f>C41*15</f>
        <v>3726</v>
      </c>
      <c r="G14" s="77">
        <f t="shared" si="0"/>
        <v>4866</v>
      </c>
    </row>
    <row r="15" spans="1:8" ht="19.5" customHeight="1" x14ac:dyDescent="0.2">
      <c r="A15" s="333"/>
      <c r="B15" s="319"/>
      <c r="C15" s="4" t="s">
        <v>253</v>
      </c>
      <c r="D15" s="4">
        <v>1.2</v>
      </c>
      <c r="E15" s="4">
        <f>D15*K29</f>
        <v>1140</v>
      </c>
      <c r="F15" s="4">
        <f>C42*14</f>
        <v>13949.6</v>
      </c>
      <c r="G15" s="77">
        <f t="shared" si="0"/>
        <v>15089.6</v>
      </c>
    </row>
    <row r="16" spans="1:8" ht="24" customHeight="1" x14ac:dyDescent="0.2">
      <c r="A16" s="333"/>
      <c r="B16" s="4" t="s">
        <v>32</v>
      </c>
      <c r="C16" s="4" t="s">
        <v>44</v>
      </c>
      <c r="D16" s="4">
        <v>1.2</v>
      </c>
      <c r="E16" s="4">
        <f>D16*K29</f>
        <v>1140</v>
      </c>
      <c r="F16" s="4">
        <f>C40*17</f>
        <v>4430.2000000000007</v>
      </c>
      <c r="G16" s="77">
        <f t="shared" si="0"/>
        <v>5570.2000000000007</v>
      </c>
    </row>
    <row r="17" spans="1:11" ht="19.5" customHeight="1" x14ac:dyDescent="0.2">
      <c r="A17" s="333"/>
      <c r="B17" s="4" t="s">
        <v>33</v>
      </c>
      <c r="C17" s="4" t="s">
        <v>243</v>
      </c>
      <c r="D17" s="4">
        <f>0.7+0.6</f>
        <v>1.2999999999999998</v>
      </c>
      <c r="E17" s="4">
        <f>D17*K29</f>
        <v>1234.9999999999998</v>
      </c>
      <c r="F17" s="4">
        <f>C45*21+C47*20</f>
        <v>14617.32</v>
      </c>
      <c r="G17" s="77">
        <f>I19+F17</f>
        <v>14617.32</v>
      </c>
    </row>
    <row r="18" spans="1:11" ht="21" customHeight="1" x14ac:dyDescent="0.2">
      <c r="A18" s="333"/>
      <c r="B18" s="4" t="s">
        <v>34</v>
      </c>
      <c r="C18" s="4" t="s">
        <v>27</v>
      </c>
      <c r="D18" s="4">
        <f>0.4+0.6</f>
        <v>1</v>
      </c>
      <c r="E18" s="4">
        <f>D18*K29</f>
        <v>950</v>
      </c>
      <c r="F18" s="4">
        <f>C34</f>
        <v>967.62</v>
      </c>
      <c r="G18" s="77">
        <f t="shared" ref="G18:G25" si="1">E18+F18</f>
        <v>1917.62</v>
      </c>
    </row>
    <row r="19" spans="1:11" ht="21.75" customHeight="1" x14ac:dyDescent="0.2">
      <c r="A19" s="333"/>
      <c r="B19" s="4" t="s">
        <v>35</v>
      </c>
      <c r="C19" s="4" t="s">
        <v>42</v>
      </c>
      <c r="D19" s="4">
        <v>0.9</v>
      </c>
      <c r="E19" s="4">
        <f>D19*K29</f>
        <v>855</v>
      </c>
      <c r="F19" s="4">
        <f>C31</f>
        <v>14394.12</v>
      </c>
      <c r="G19" s="77">
        <f t="shared" si="1"/>
        <v>15249.12</v>
      </c>
    </row>
    <row r="20" spans="1:11" ht="21" customHeight="1" x14ac:dyDescent="0.2">
      <c r="A20" s="333"/>
      <c r="B20" s="4" t="s">
        <v>36</v>
      </c>
      <c r="C20" s="4" t="s">
        <v>29</v>
      </c>
      <c r="D20" s="17">
        <v>2.1</v>
      </c>
      <c r="E20" s="94">
        <f>D20*K29</f>
        <v>1995</v>
      </c>
      <c r="F20" s="4">
        <f>C36</f>
        <v>4507.68</v>
      </c>
      <c r="G20" s="77">
        <f t="shared" si="1"/>
        <v>6502.68</v>
      </c>
    </row>
    <row r="21" spans="1:11" ht="21" customHeight="1" x14ac:dyDescent="0.2">
      <c r="A21" s="97"/>
      <c r="B21" s="4" t="s">
        <v>36</v>
      </c>
      <c r="C21" s="4" t="s">
        <v>28</v>
      </c>
      <c r="D21" s="17">
        <v>2.2000000000000002</v>
      </c>
      <c r="E21" s="4">
        <f>D21*K29</f>
        <v>2090</v>
      </c>
      <c r="F21" s="4">
        <f>C36</f>
        <v>4507.68</v>
      </c>
      <c r="G21" s="77">
        <f t="shared" si="1"/>
        <v>6597.68</v>
      </c>
    </row>
    <row r="22" spans="1:11" ht="32.25" customHeight="1" x14ac:dyDescent="0.2">
      <c r="A22" s="39" t="s">
        <v>14</v>
      </c>
      <c r="B22" s="4" t="s">
        <v>15</v>
      </c>
      <c r="C22" s="4" t="s">
        <v>254</v>
      </c>
      <c r="D22" s="4">
        <v>1.6</v>
      </c>
      <c r="E22" s="4">
        <f>D22*K29</f>
        <v>1520</v>
      </c>
      <c r="F22" s="4">
        <f>C32+C34+C46*3</f>
        <v>2613.0299999999997</v>
      </c>
      <c r="G22" s="77">
        <f t="shared" si="1"/>
        <v>4133.03</v>
      </c>
    </row>
    <row r="23" spans="1:11" ht="25.5" x14ac:dyDescent="0.2">
      <c r="A23" s="287" t="s">
        <v>16</v>
      </c>
      <c r="B23" s="4" t="s">
        <v>151</v>
      </c>
      <c r="C23" s="4" t="s">
        <v>17</v>
      </c>
      <c r="D23" s="4">
        <v>1.6</v>
      </c>
      <c r="E23" s="4">
        <f>D23*K29</f>
        <v>1520</v>
      </c>
      <c r="F23" s="4">
        <f>C34+C46*3</f>
        <v>1964.07</v>
      </c>
      <c r="G23" s="77">
        <f t="shared" si="1"/>
        <v>3484.0699999999997</v>
      </c>
    </row>
    <row r="24" spans="1:11" ht="19.5" customHeight="1" x14ac:dyDescent="0.2">
      <c r="A24" s="287"/>
      <c r="B24" s="4" t="s">
        <v>250</v>
      </c>
      <c r="C24" s="4" t="s">
        <v>255</v>
      </c>
      <c r="D24" s="4">
        <v>5.0999999999999996</v>
      </c>
      <c r="E24" s="4">
        <f>D24*K29</f>
        <v>4845</v>
      </c>
      <c r="F24" s="4">
        <f>C37*2</f>
        <v>5792.88</v>
      </c>
      <c r="G24" s="77">
        <f t="shared" si="1"/>
        <v>10637.880000000001</v>
      </c>
    </row>
    <row r="25" spans="1:11" ht="48" thickBot="1" x14ac:dyDescent="0.25">
      <c r="A25" s="40" t="s">
        <v>249</v>
      </c>
      <c r="B25" s="33" t="s">
        <v>18</v>
      </c>
      <c r="C25" s="33" t="s">
        <v>18</v>
      </c>
      <c r="D25" s="33">
        <v>1.7</v>
      </c>
      <c r="E25" s="33">
        <f>D25*K29</f>
        <v>1615</v>
      </c>
      <c r="F25" s="33">
        <f>C45*21+C47*20+C44</f>
        <v>15243.24</v>
      </c>
      <c r="G25" s="86">
        <f t="shared" si="1"/>
        <v>16858.239999999998</v>
      </c>
    </row>
    <row r="26" spans="1:11" x14ac:dyDescent="0.2">
      <c r="A26" s="30"/>
      <c r="B26" s="17"/>
      <c r="C26" s="17"/>
      <c r="D26" s="17"/>
      <c r="E26" s="17"/>
      <c r="F26" s="17"/>
      <c r="G26" s="17"/>
    </row>
    <row r="27" spans="1:11" ht="13.5" thickBot="1" x14ac:dyDescent="0.25">
      <c r="A27" s="30"/>
      <c r="D27" s="17"/>
      <c r="E27" s="17"/>
      <c r="F27" s="17"/>
      <c r="G27" s="17"/>
    </row>
    <row r="28" spans="1:11" ht="16.5" thickBot="1" x14ac:dyDescent="0.25">
      <c r="A28" s="30"/>
      <c r="B28" s="90" t="s">
        <v>49</v>
      </c>
      <c r="C28" s="112" t="s">
        <v>121</v>
      </c>
      <c r="D28" s="17"/>
      <c r="E28" s="17"/>
      <c r="F28" s="17"/>
      <c r="G28" s="17"/>
    </row>
    <row r="29" spans="1:11" ht="26.25" thickBot="1" x14ac:dyDescent="0.25">
      <c r="A29" s="30"/>
      <c r="B29" s="143" t="s">
        <v>155</v>
      </c>
      <c r="C29" s="153">
        <v>1014.3</v>
      </c>
      <c r="D29" s="17"/>
      <c r="E29" s="17"/>
      <c r="J29" s="118" t="s">
        <v>166</v>
      </c>
      <c r="K29" s="91">
        <v>950</v>
      </c>
    </row>
    <row r="30" spans="1:11" ht="14.25" x14ac:dyDescent="0.2">
      <c r="A30" s="30"/>
      <c r="B30" s="130" t="s">
        <v>449</v>
      </c>
      <c r="C30" s="197">
        <v>915.6</v>
      </c>
      <c r="D30" s="17"/>
      <c r="E30" s="17"/>
      <c r="F30" s="17"/>
      <c r="G30" s="17"/>
    </row>
    <row r="31" spans="1:11" ht="14.25" x14ac:dyDescent="0.2">
      <c r="A31" s="30"/>
      <c r="B31" s="120" t="s">
        <v>450</v>
      </c>
      <c r="C31" s="156">
        <v>14394.12</v>
      </c>
      <c r="D31" s="17"/>
      <c r="E31" s="17"/>
      <c r="F31" s="17"/>
      <c r="G31" s="17"/>
    </row>
    <row r="32" spans="1:11" ht="14.25" x14ac:dyDescent="0.2">
      <c r="A32" s="74"/>
      <c r="B32" s="120" t="s">
        <v>416</v>
      </c>
      <c r="C32" s="144">
        <v>648.96</v>
      </c>
      <c r="D32" s="138"/>
      <c r="E32" s="74"/>
      <c r="F32" s="74"/>
      <c r="G32" s="74"/>
    </row>
    <row r="33" spans="2:4" ht="14.25" x14ac:dyDescent="0.2">
      <c r="B33" s="120" t="s">
        <v>458</v>
      </c>
      <c r="C33" s="126">
        <v>2989.08</v>
      </c>
      <c r="D33" s="142"/>
    </row>
    <row r="34" spans="2:4" ht="14.25" x14ac:dyDescent="0.2">
      <c r="B34" s="120" t="s">
        <v>459</v>
      </c>
      <c r="C34" s="126">
        <v>967.62</v>
      </c>
      <c r="D34" s="12"/>
    </row>
    <row r="35" spans="2:4" ht="14.25" x14ac:dyDescent="0.2">
      <c r="B35" s="130" t="s">
        <v>460</v>
      </c>
      <c r="C35" s="197">
        <v>368.1</v>
      </c>
      <c r="D35" s="142"/>
    </row>
    <row r="36" spans="2:4" ht="14.25" x14ac:dyDescent="0.2">
      <c r="B36" s="121" t="s">
        <v>468</v>
      </c>
      <c r="C36" s="149">
        <v>4507.68</v>
      </c>
      <c r="D36" s="142"/>
    </row>
    <row r="37" spans="2:4" ht="14.25" x14ac:dyDescent="0.2">
      <c r="B37" s="121" t="s">
        <v>470</v>
      </c>
      <c r="C37" s="144">
        <v>2896.44</v>
      </c>
      <c r="D37" s="142"/>
    </row>
    <row r="38" spans="2:4" ht="14.25" x14ac:dyDescent="0.2">
      <c r="B38" s="120" t="s">
        <v>431</v>
      </c>
      <c r="C38" s="126">
        <v>213.24</v>
      </c>
      <c r="D38" s="142"/>
    </row>
    <row r="39" spans="2:4" ht="14.25" x14ac:dyDescent="0.2">
      <c r="B39" s="120" t="s">
        <v>451</v>
      </c>
      <c r="C39" s="135">
        <v>188.16</v>
      </c>
      <c r="D39" s="142"/>
    </row>
    <row r="40" spans="2:4" ht="14.25" x14ac:dyDescent="0.2">
      <c r="B40" s="120" t="s">
        <v>452</v>
      </c>
      <c r="C40" s="135">
        <v>260.60000000000002</v>
      </c>
      <c r="D40" s="142"/>
    </row>
    <row r="41" spans="2:4" ht="14.25" x14ac:dyDescent="0.2">
      <c r="B41" s="120" t="s">
        <v>461</v>
      </c>
      <c r="C41" s="144">
        <v>248.4</v>
      </c>
      <c r="D41" s="142"/>
    </row>
    <row r="42" spans="2:4" ht="14.25" x14ac:dyDescent="0.2">
      <c r="B42" s="120" t="s">
        <v>462</v>
      </c>
      <c r="C42" s="144">
        <v>996.4</v>
      </c>
      <c r="D42" s="142"/>
    </row>
    <row r="43" spans="2:4" ht="14.25" x14ac:dyDescent="0.2">
      <c r="B43" s="120" t="s">
        <v>466</v>
      </c>
      <c r="C43" s="144">
        <v>1072.2</v>
      </c>
      <c r="D43" s="142"/>
    </row>
    <row r="44" spans="2:4" ht="14.25" x14ac:dyDescent="0.2">
      <c r="B44" s="130" t="s">
        <v>435</v>
      </c>
      <c r="C44" s="126">
        <v>625.91999999999996</v>
      </c>
      <c r="D44" s="142"/>
    </row>
    <row r="45" spans="2:4" ht="14.25" x14ac:dyDescent="0.2">
      <c r="B45" s="130" t="s">
        <v>436</v>
      </c>
      <c r="C45" s="126">
        <v>681.12</v>
      </c>
      <c r="D45" s="142"/>
    </row>
    <row r="46" spans="2:4" ht="14.25" x14ac:dyDescent="0.2">
      <c r="B46" s="120" t="s">
        <v>464</v>
      </c>
      <c r="C46" s="144">
        <v>332.15</v>
      </c>
      <c r="D46" s="142"/>
    </row>
    <row r="47" spans="2:4" ht="14.25" x14ac:dyDescent="0.2">
      <c r="B47" s="130" t="s">
        <v>438</v>
      </c>
      <c r="C47" s="126">
        <v>15.69</v>
      </c>
      <c r="D47" s="142"/>
    </row>
    <row r="48" spans="2:4" ht="15" thickBot="1" x14ac:dyDescent="0.25">
      <c r="B48" s="155" t="s">
        <v>48</v>
      </c>
      <c r="C48" s="150">
        <v>281.27999999999997</v>
      </c>
      <c r="D48" s="142"/>
    </row>
  </sheetData>
  <sheetProtection algorithmName="SHA-512" hashValue="RLVpwtZbiu8L5r6bte5FMRylViXesYV9oRdOZhVa//uLRUJ5dK9GlkF6WNbX9j+CQY59uadEb4IscJbA6cq7oQ==" saltValue="p4yI6pRfPp8WIYXyA+QMUQ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8">
      <selection activeCell="C51" sqref="C51"/>
      <pageMargins left="0.25" right="0.25" top="0.75" bottom="0.75" header="0.3" footer="0.3"/>
      <pageSetup paperSize="9" scale="68" orientation="portrait" r:id="rId1"/>
    </customSheetView>
  </customSheetViews>
  <mergeCells count="5">
    <mergeCell ref="B10:B11"/>
    <mergeCell ref="B14:B15"/>
    <mergeCell ref="A23:A24"/>
    <mergeCell ref="A10:A20"/>
    <mergeCell ref="A8:G8"/>
  </mergeCells>
  <pageMargins left="0.25" right="0.25" top="0.75" bottom="0.75" header="0.3" footer="0.3"/>
  <pageSetup paperSize="9" scale="68" orientation="portrait" r:id="rId2"/>
  <ignoredErrors>
    <ignoredError sqref="F19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B8" workbookViewId="0">
      <selection activeCell="A8" sqref="A8:G8"/>
    </sheetView>
  </sheetViews>
  <sheetFormatPr defaultRowHeight="12.75" x14ac:dyDescent="0.2"/>
  <cols>
    <col min="1" max="1" width="13.7109375" style="10" customWidth="1"/>
    <col min="2" max="2" width="31" style="10" customWidth="1"/>
    <col min="3" max="3" width="31.140625" style="10" customWidth="1"/>
    <col min="4" max="4" width="15.7109375" style="10" customWidth="1"/>
    <col min="5" max="5" width="16.28515625" style="10" customWidth="1"/>
    <col min="6" max="6" width="16" style="10" customWidth="1"/>
    <col min="7" max="7" width="17" style="10" customWidth="1"/>
    <col min="8" max="8" width="3.85546875" customWidth="1"/>
    <col min="9" max="9" width="5.140625" customWidth="1"/>
    <col min="10" max="11" width="34.7109375" hidden="1" customWidth="1"/>
    <col min="12" max="15" width="34.7109375" customWidth="1"/>
    <col min="257" max="257" width="11.85546875" customWidth="1"/>
    <col min="258" max="258" width="31" customWidth="1"/>
    <col min="259" max="259" width="31.140625" customWidth="1"/>
    <col min="260" max="260" width="15.7109375" customWidth="1"/>
    <col min="261" max="261" width="16.28515625" customWidth="1"/>
    <col min="262" max="262" width="16" customWidth="1"/>
    <col min="263" max="263" width="17" customWidth="1"/>
    <col min="513" max="513" width="11.85546875" customWidth="1"/>
    <col min="514" max="514" width="31" customWidth="1"/>
    <col min="515" max="515" width="31.140625" customWidth="1"/>
    <col min="516" max="516" width="15.7109375" customWidth="1"/>
    <col min="517" max="517" width="16.28515625" customWidth="1"/>
    <col min="518" max="518" width="16" customWidth="1"/>
    <col min="519" max="519" width="17" customWidth="1"/>
    <col min="769" max="769" width="11.85546875" customWidth="1"/>
    <col min="770" max="770" width="31" customWidth="1"/>
    <col min="771" max="771" width="31.140625" customWidth="1"/>
    <col min="772" max="772" width="15.7109375" customWidth="1"/>
    <col min="773" max="773" width="16.28515625" customWidth="1"/>
    <col min="774" max="774" width="16" customWidth="1"/>
    <col min="775" max="775" width="17" customWidth="1"/>
    <col min="1025" max="1025" width="11.85546875" customWidth="1"/>
    <col min="1026" max="1026" width="31" customWidth="1"/>
    <col min="1027" max="1027" width="31.140625" customWidth="1"/>
    <col min="1028" max="1028" width="15.7109375" customWidth="1"/>
    <col min="1029" max="1029" width="16.28515625" customWidth="1"/>
    <col min="1030" max="1030" width="16" customWidth="1"/>
    <col min="1031" max="1031" width="17" customWidth="1"/>
    <col min="1281" max="1281" width="11.85546875" customWidth="1"/>
    <col min="1282" max="1282" width="31" customWidth="1"/>
    <col min="1283" max="1283" width="31.140625" customWidth="1"/>
    <col min="1284" max="1284" width="15.7109375" customWidth="1"/>
    <col min="1285" max="1285" width="16.28515625" customWidth="1"/>
    <col min="1286" max="1286" width="16" customWidth="1"/>
    <col min="1287" max="1287" width="17" customWidth="1"/>
    <col min="1537" max="1537" width="11.85546875" customWidth="1"/>
    <col min="1538" max="1538" width="31" customWidth="1"/>
    <col min="1539" max="1539" width="31.140625" customWidth="1"/>
    <col min="1540" max="1540" width="15.7109375" customWidth="1"/>
    <col min="1541" max="1541" width="16.28515625" customWidth="1"/>
    <col min="1542" max="1542" width="16" customWidth="1"/>
    <col min="1543" max="1543" width="17" customWidth="1"/>
    <col min="1793" max="1793" width="11.85546875" customWidth="1"/>
    <col min="1794" max="1794" width="31" customWidth="1"/>
    <col min="1795" max="1795" width="31.140625" customWidth="1"/>
    <col min="1796" max="1796" width="15.7109375" customWidth="1"/>
    <col min="1797" max="1797" width="16.28515625" customWidth="1"/>
    <col min="1798" max="1798" width="16" customWidth="1"/>
    <col min="1799" max="1799" width="17" customWidth="1"/>
    <col min="2049" max="2049" width="11.85546875" customWidth="1"/>
    <col min="2050" max="2050" width="31" customWidth="1"/>
    <col min="2051" max="2051" width="31.140625" customWidth="1"/>
    <col min="2052" max="2052" width="15.7109375" customWidth="1"/>
    <col min="2053" max="2053" width="16.28515625" customWidth="1"/>
    <col min="2054" max="2054" width="16" customWidth="1"/>
    <col min="2055" max="2055" width="17" customWidth="1"/>
    <col min="2305" max="2305" width="11.85546875" customWidth="1"/>
    <col min="2306" max="2306" width="31" customWidth="1"/>
    <col min="2307" max="2307" width="31.140625" customWidth="1"/>
    <col min="2308" max="2308" width="15.7109375" customWidth="1"/>
    <col min="2309" max="2309" width="16.28515625" customWidth="1"/>
    <col min="2310" max="2310" width="16" customWidth="1"/>
    <col min="2311" max="2311" width="17" customWidth="1"/>
    <col min="2561" max="2561" width="11.85546875" customWidth="1"/>
    <col min="2562" max="2562" width="31" customWidth="1"/>
    <col min="2563" max="2563" width="31.140625" customWidth="1"/>
    <col min="2564" max="2564" width="15.7109375" customWidth="1"/>
    <col min="2565" max="2565" width="16.28515625" customWidth="1"/>
    <col min="2566" max="2566" width="16" customWidth="1"/>
    <col min="2567" max="2567" width="17" customWidth="1"/>
    <col min="2817" max="2817" width="11.85546875" customWidth="1"/>
    <col min="2818" max="2818" width="31" customWidth="1"/>
    <col min="2819" max="2819" width="31.140625" customWidth="1"/>
    <col min="2820" max="2820" width="15.7109375" customWidth="1"/>
    <col min="2821" max="2821" width="16.28515625" customWidth="1"/>
    <col min="2822" max="2822" width="16" customWidth="1"/>
    <col min="2823" max="2823" width="17" customWidth="1"/>
    <col min="3073" max="3073" width="11.85546875" customWidth="1"/>
    <col min="3074" max="3074" width="31" customWidth="1"/>
    <col min="3075" max="3075" width="31.140625" customWidth="1"/>
    <col min="3076" max="3076" width="15.7109375" customWidth="1"/>
    <col min="3077" max="3077" width="16.28515625" customWidth="1"/>
    <col min="3078" max="3078" width="16" customWidth="1"/>
    <col min="3079" max="3079" width="17" customWidth="1"/>
    <col min="3329" max="3329" width="11.85546875" customWidth="1"/>
    <col min="3330" max="3330" width="31" customWidth="1"/>
    <col min="3331" max="3331" width="31.140625" customWidth="1"/>
    <col min="3332" max="3332" width="15.7109375" customWidth="1"/>
    <col min="3333" max="3333" width="16.28515625" customWidth="1"/>
    <col min="3334" max="3334" width="16" customWidth="1"/>
    <col min="3335" max="3335" width="17" customWidth="1"/>
    <col min="3585" max="3585" width="11.85546875" customWidth="1"/>
    <col min="3586" max="3586" width="31" customWidth="1"/>
    <col min="3587" max="3587" width="31.140625" customWidth="1"/>
    <col min="3588" max="3588" width="15.7109375" customWidth="1"/>
    <col min="3589" max="3589" width="16.28515625" customWidth="1"/>
    <col min="3590" max="3590" width="16" customWidth="1"/>
    <col min="3591" max="3591" width="17" customWidth="1"/>
    <col min="3841" max="3841" width="11.85546875" customWidth="1"/>
    <col min="3842" max="3842" width="31" customWidth="1"/>
    <col min="3843" max="3843" width="31.140625" customWidth="1"/>
    <col min="3844" max="3844" width="15.7109375" customWidth="1"/>
    <col min="3845" max="3845" width="16.28515625" customWidth="1"/>
    <col min="3846" max="3846" width="16" customWidth="1"/>
    <col min="3847" max="3847" width="17" customWidth="1"/>
    <col min="4097" max="4097" width="11.85546875" customWidth="1"/>
    <col min="4098" max="4098" width="31" customWidth="1"/>
    <col min="4099" max="4099" width="31.140625" customWidth="1"/>
    <col min="4100" max="4100" width="15.7109375" customWidth="1"/>
    <col min="4101" max="4101" width="16.28515625" customWidth="1"/>
    <col min="4102" max="4102" width="16" customWidth="1"/>
    <col min="4103" max="4103" width="17" customWidth="1"/>
    <col min="4353" max="4353" width="11.85546875" customWidth="1"/>
    <col min="4354" max="4354" width="31" customWidth="1"/>
    <col min="4355" max="4355" width="31.140625" customWidth="1"/>
    <col min="4356" max="4356" width="15.7109375" customWidth="1"/>
    <col min="4357" max="4357" width="16.28515625" customWidth="1"/>
    <col min="4358" max="4358" width="16" customWidth="1"/>
    <col min="4359" max="4359" width="17" customWidth="1"/>
    <col min="4609" max="4609" width="11.85546875" customWidth="1"/>
    <col min="4610" max="4610" width="31" customWidth="1"/>
    <col min="4611" max="4611" width="31.140625" customWidth="1"/>
    <col min="4612" max="4612" width="15.7109375" customWidth="1"/>
    <col min="4613" max="4613" width="16.28515625" customWidth="1"/>
    <col min="4614" max="4614" width="16" customWidth="1"/>
    <col min="4615" max="4615" width="17" customWidth="1"/>
    <col min="4865" max="4865" width="11.85546875" customWidth="1"/>
    <col min="4866" max="4866" width="31" customWidth="1"/>
    <col min="4867" max="4867" width="31.140625" customWidth="1"/>
    <col min="4868" max="4868" width="15.7109375" customWidth="1"/>
    <col min="4869" max="4869" width="16.28515625" customWidth="1"/>
    <col min="4870" max="4870" width="16" customWidth="1"/>
    <col min="4871" max="4871" width="17" customWidth="1"/>
    <col min="5121" max="5121" width="11.85546875" customWidth="1"/>
    <col min="5122" max="5122" width="31" customWidth="1"/>
    <col min="5123" max="5123" width="31.140625" customWidth="1"/>
    <col min="5124" max="5124" width="15.7109375" customWidth="1"/>
    <col min="5125" max="5125" width="16.28515625" customWidth="1"/>
    <col min="5126" max="5126" width="16" customWidth="1"/>
    <col min="5127" max="5127" width="17" customWidth="1"/>
    <col min="5377" max="5377" width="11.85546875" customWidth="1"/>
    <col min="5378" max="5378" width="31" customWidth="1"/>
    <col min="5379" max="5379" width="31.140625" customWidth="1"/>
    <col min="5380" max="5380" width="15.7109375" customWidth="1"/>
    <col min="5381" max="5381" width="16.28515625" customWidth="1"/>
    <col min="5382" max="5382" width="16" customWidth="1"/>
    <col min="5383" max="5383" width="17" customWidth="1"/>
    <col min="5633" max="5633" width="11.85546875" customWidth="1"/>
    <col min="5634" max="5634" width="31" customWidth="1"/>
    <col min="5635" max="5635" width="31.140625" customWidth="1"/>
    <col min="5636" max="5636" width="15.7109375" customWidth="1"/>
    <col min="5637" max="5637" width="16.28515625" customWidth="1"/>
    <col min="5638" max="5638" width="16" customWidth="1"/>
    <col min="5639" max="5639" width="17" customWidth="1"/>
    <col min="5889" max="5889" width="11.85546875" customWidth="1"/>
    <col min="5890" max="5890" width="31" customWidth="1"/>
    <col min="5891" max="5891" width="31.140625" customWidth="1"/>
    <col min="5892" max="5892" width="15.7109375" customWidth="1"/>
    <col min="5893" max="5893" width="16.28515625" customWidth="1"/>
    <col min="5894" max="5894" width="16" customWidth="1"/>
    <col min="5895" max="5895" width="17" customWidth="1"/>
    <col min="6145" max="6145" width="11.85546875" customWidth="1"/>
    <col min="6146" max="6146" width="31" customWidth="1"/>
    <col min="6147" max="6147" width="31.140625" customWidth="1"/>
    <col min="6148" max="6148" width="15.7109375" customWidth="1"/>
    <col min="6149" max="6149" width="16.28515625" customWidth="1"/>
    <col min="6150" max="6150" width="16" customWidth="1"/>
    <col min="6151" max="6151" width="17" customWidth="1"/>
    <col min="6401" max="6401" width="11.85546875" customWidth="1"/>
    <col min="6402" max="6402" width="31" customWidth="1"/>
    <col min="6403" max="6403" width="31.140625" customWidth="1"/>
    <col min="6404" max="6404" width="15.7109375" customWidth="1"/>
    <col min="6405" max="6405" width="16.28515625" customWidth="1"/>
    <col min="6406" max="6406" width="16" customWidth="1"/>
    <col min="6407" max="6407" width="17" customWidth="1"/>
    <col min="6657" max="6657" width="11.85546875" customWidth="1"/>
    <col min="6658" max="6658" width="31" customWidth="1"/>
    <col min="6659" max="6659" width="31.140625" customWidth="1"/>
    <col min="6660" max="6660" width="15.7109375" customWidth="1"/>
    <col min="6661" max="6661" width="16.28515625" customWidth="1"/>
    <col min="6662" max="6662" width="16" customWidth="1"/>
    <col min="6663" max="6663" width="17" customWidth="1"/>
    <col min="6913" max="6913" width="11.85546875" customWidth="1"/>
    <col min="6914" max="6914" width="31" customWidth="1"/>
    <col min="6915" max="6915" width="31.140625" customWidth="1"/>
    <col min="6916" max="6916" width="15.7109375" customWidth="1"/>
    <col min="6917" max="6917" width="16.28515625" customWidth="1"/>
    <col min="6918" max="6918" width="16" customWidth="1"/>
    <col min="6919" max="6919" width="17" customWidth="1"/>
    <col min="7169" max="7169" width="11.85546875" customWidth="1"/>
    <col min="7170" max="7170" width="31" customWidth="1"/>
    <col min="7171" max="7171" width="31.140625" customWidth="1"/>
    <col min="7172" max="7172" width="15.7109375" customWidth="1"/>
    <col min="7173" max="7173" width="16.28515625" customWidth="1"/>
    <col min="7174" max="7174" width="16" customWidth="1"/>
    <col min="7175" max="7175" width="17" customWidth="1"/>
    <col min="7425" max="7425" width="11.85546875" customWidth="1"/>
    <col min="7426" max="7426" width="31" customWidth="1"/>
    <col min="7427" max="7427" width="31.140625" customWidth="1"/>
    <col min="7428" max="7428" width="15.7109375" customWidth="1"/>
    <col min="7429" max="7429" width="16.28515625" customWidth="1"/>
    <col min="7430" max="7430" width="16" customWidth="1"/>
    <col min="7431" max="7431" width="17" customWidth="1"/>
    <col min="7681" max="7681" width="11.85546875" customWidth="1"/>
    <col min="7682" max="7682" width="31" customWidth="1"/>
    <col min="7683" max="7683" width="31.140625" customWidth="1"/>
    <col min="7684" max="7684" width="15.7109375" customWidth="1"/>
    <col min="7685" max="7685" width="16.28515625" customWidth="1"/>
    <col min="7686" max="7686" width="16" customWidth="1"/>
    <col min="7687" max="7687" width="17" customWidth="1"/>
    <col min="7937" max="7937" width="11.85546875" customWidth="1"/>
    <col min="7938" max="7938" width="31" customWidth="1"/>
    <col min="7939" max="7939" width="31.140625" customWidth="1"/>
    <col min="7940" max="7940" width="15.7109375" customWidth="1"/>
    <col min="7941" max="7941" width="16.28515625" customWidth="1"/>
    <col min="7942" max="7942" width="16" customWidth="1"/>
    <col min="7943" max="7943" width="17" customWidth="1"/>
    <col min="8193" max="8193" width="11.85546875" customWidth="1"/>
    <col min="8194" max="8194" width="31" customWidth="1"/>
    <col min="8195" max="8195" width="31.140625" customWidth="1"/>
    <col min="8196" max="8196" width="15.7109375" customWidth="1"/>
    <col min="8197" max="8197" width="16.28515625" customWidth="1"/>
    <col min="8198" max="8198" width="16" customWidth="1"/>
    <col min="8199" max="8199" width="17" customWidth="1"/>
    <col min="8449" max="8449" width="11.85546875" customWidth="1"/>
    <col min="8450" max="8450" width="31" customWidth="1"/>
    <col min="8451" max="8451" width="31.140625" customWidth="1"/>
    <col min="8452" max="8452" width="15.7109375" customWidth="1"/>
    <col min="8453" max="8453" width="16.28515625" customWidth="1"/>
    <col min="8454" max="8454" width="16" customWidth="1"/>
    <col min="8455" max="8455" width="17" customWidth="1"/>
    <col min="8705" max="8705" width="11.85546875" customWidth="1"/>
    <col min="8706" max="8706" width="31" customWidth="1"/>
    <col min="8707" max="8707" width="31.140625" customWidth="1"/>
    <col min="8708" max="8708" width="15.7109375" customWidth="1"/>
    <col min="8709" max="8709" width="16.28515625" customWidth="1"/>
    <col min="8710" max="8710" width="16" customWidth="1"/>
    <col min="8711" max="8711" width="17" customWidth="1"/>
    <col min="8961" max="8961" width="11.85546875" customWidth="1"/>
    <col min="8962" max="8962" width="31" customWidth="1"/>
    <col min="8963" max="8963" width="31.140625" customWidth="1"/>
    <col min="8964" max="8964" width="15.7109375" customWidth="1"/>
    <col min="8965" max="8965" width="16.28515625" customWidth="1"/>
    <col min="8966" max="8966" width="16" customWidth="1"/>
    <col min="8967" max="8967" width="17" customWidth="1"/>
    <col min="9217" max="9217" width="11.85546875" customWidth="1"/>
    <col min="9218" max="9218" width="31" customWidth="1"/>
    <col min="9219" max="9219" width="31.140625" customWidth="1"/>
    <col min="9220" max="9220" width="15.7109375" customWidth="1"/>
    <col min="9221" max="9221" width="16.28515625" customWidth="1"/>
    <col min="9222" max="9222" width="16" customWidth="1"/>
    <col min="9223" max="9223" width="17" customWidth="1"/>
    <col min="9473" max="9473" width="11.85546875" customWidth="1"/>
    <col min="9474" max="9474" width="31" customWidth="1"/>
    <col min="9475" max="9475" width="31.140625" customWidth="1"/>
    <col min="9476" max="9476" width="15.7109375" customWidth="1"/>
    <col min="9477" max="9477" width="16.28515625" customWidth="1"/>
    <col min="9478" max="9478" width="16" customWidth="1"/>
    <col min="9479" max="9479" width="17" customWidth="1"/>
    <col min="9729" max="9729" width="11.85546875" customWidth="1"/>
    <col min="9730" max="9730" width="31" customWidth="1"/>
    <col min="9731" max="9731" width="31.140625" customWidth="1"/>
    <col min="9732" max="9732" width="15.7109375" customWidth="1"/>
    <col min="9733" max="9733" width="16.28515625" customWidth="1"/>
    <col min="9734" max="9734" width="16" customWidth="1"/>
    <col min="9735" max="9735" width="17" customWidth="1"/>
    <col min="9985" max="9985" width="11.85546875" customWidth="1"/>
    <col min="9986" max="9986" width="31" customWidth="1"/>
    <col min="9987" max="9987" width="31.140625" customWidth="1"/>
    <col min="9988" max="9988" width="15.7109375" customWidth="1"/>
    <col min="9989" max="9989" width="16.28515625" customWidth="1"/>
    <col min="9990" max="9990" width="16" customWidth="1"/>
    <col min="9991" max="9991" width="17" customWidth="1"/>
    <col min="10241" max="10241" width="11.85546875" customWidth="1"/>
    <col min="10242" max="10242" width="31" customWidth="1"/>
    <col min="10243" max="10243" width="31.140625" customWidth="1"/>
    <col min="10244" max="10244" width="15.7109375" customWidth="1"/>
    <col min="10245" max="10245" width="16.28515625" customWidth="1"/>
    <col min="10246" max="10246" width="16" customWidth="1"/>
    <col min="10247" max="10247" width="17" customWidth="1"/>
    <col min="10497" max="10497" width="11.85546875" customWidth="1"/>
    <col min="10498" max="10498" width="31" customWidth="1"/>
    <col min="10499" max="10499" width="31.140625" customWidth="1"/>
    <col min="10500" max="10500" width="15.7109375" customWidth="1"/>
    <col min="10501" max="10501" width="16.28515625" customWidth="1"/>
    <col min="10502" max="10502" width="16" customWidth="1"/>
    <col min="10503" max="10503" width="17" customWidth="1"/>
    <col min="10753" max="10753" width="11.85546875" customWidth="1"/>
    <col min="10754" max="10754" width="31" customWidth="1"/>
    <col min="10755" max="10755" width="31.140625" customWidth="1"/>
    <col min="10756" max="10756" width="15.7109375" customWidth="1"/>
    <col min="10757" max="10757" width="16.28515625" customWidth="1"/>
    <col min="10758" max="10758" width="16" customWidth="1"/>
    <col min="10759" max="10759" width="17" customWidth="1"/>
    <col min="11009" max="11009" width="11.85546875" customWidth="1"/>
    <col min="11010" max="11010" width="31" customWidth="1"/>
    <col min="11011" max="11011" width="31.140625" customWidth="1"/>
    <col min="11012" max="11012" width="15.7109375" customWidth="1"/>
    <col min="11013" max="11013" width="16.28515625" customWidth="1"/>
    <col min="11014" max="11014" width="16" customWidth="1"/>
    <col min="11015" max="11015" width="17" customWidth="1"/>
    <col min="11265" max="11265" width="11.85546875" customWidth="1"/>
    <col min="11266" max="11266" width="31" customWidth="1"/>
    <col min="11267" max="11267" width="31.140625" customWidth="1"/>
    <col min="11268" max="11268" width="15.7109375" customWidth="1"/>
    <col min="11269" max="11269" width="16.28515625" customWidth="1"/>
    <col min="11270" max="11270" width="16" customWidth="1"/>
    <col min="11271" max="11271" width="17" customWidth="1"/>
    <col min="11521" max="11521" width="11.85546875" customWidth="1"/>
    <col min="11522" max="11522" width="31" customWidth="1"/>
    <col min="11523" max="11523" width="31.140625" customWidth="1"/>
    <col min="11524" max="11524" width="15.7109375" customWidth="1"/>
    <col min="11525" max="11525" width="16.28515625" customWidth="1"/>
    <col min="11526" max="11526" width="16" customWidth="1"/>
    <col min="11527" max="11527" width="17" customWidth="1"/>
    <col min="11777" max="11777" width="11.85546875" customWidth="1"/>
    <col min="11778" max="11778" width="31" customWidth="1"/>
    <col min="11779" max="11779" width="31.140625" customWidth="1"/>
    <col min="11780" max="11780" width="15.7109375" customWidth="1"/>
    <col min="11781" max="11781" width="16.28515625" customWidth="1"/>
    <col min="11782" max="11782" width="16" customWidth="1"/>
    <col min="11783" max="11783" width="17" customWidth="1"/>
    <col min="12033" max="12033" width="11.85546875" customWidth="1"/>
    <col min="12034" max="12034" width="31" customWidth="1"/>
    <col min="12035" max="12035" width="31.140625" customWidth="1"/>
    <col min="12036" max="12036" width="15.7109375" customWidth="1"/>
    <col min="12037" max="12037" width="16.28515625" customWidth="1"/>
    <col min="12038" max="12038" width="16" customWidth="1"/>
    <col min="12039" max="12039" width="17" customWidth="1"/>
    <col min="12289" max="12289" width="11.85546875" customWidth="1"/>
    <col min="12290" max="12290" width="31" customWidth="1"/>
    <col min="12291" max="12291" width="31.140625" customWidth="1"/>
    <col min="12292" max="12292" width="15.7109375" customWidth="1"/>
    <col min="12293" max="12293" width="16.28515625" customWidth="1"/>
    <col min="12294" max="12294" width="16" customWidth="1"/>
    <col min="12295" max="12295" width="17" customWidth="1"/>
    <col min="12545" max="12545" width="11.85546875" customWidth="1"/>
    <col min="12546" max="12546" width="31" customWidth="1"/>
    <col min="12547" max="12547" width="31.140625" customWidth="1"/>
    <col min="12548" max="12548" width="15.7109375" customWidth="1"/>
    <col min="12549" max="12549" width="16.28515625" customWidth="1"/>
    <col min="12550" max="12550" width="16" customWidth="1"/>
    <col min="12551" max="12551" width="17" customWidth="1"/>
    <col min="12801" max="12801" width="11.85546875" customWidth="1"/>
    <col min="12802" max="12802" width="31" customWidth="1"/>
    <col min="12803" max="12803" width="31.140625" customWidth="1"/>
    <col min="12804" max="12804" width="15.7109375" customWidth="1"/>
    <col min="12805" max="12805" width="16.28515625" customWidth="1"/>
    <col min="12806" max="12806" width="16" customWidth="1"/>
    <col min="12807" max="12807" width="17" customWidth="1"/>
    <col min="13057" max="13057" width="11.85546875" customWidth="1"/>
    <col min="13058" max="13058" width="31" customWidth="1"/>
    <col min="13059" max="13059" width="31.140625" customWidth="1"/>
    <col min="13060" max="13060" width="15.7109375" customWidth="1"/>
    <col min="13061" max="13061" width="16.28515625" customWidth="1"/>
    <col min="13062" max="13062" width="16" customWidth="1"/>
    <col min="13063" max="13063" width="17" customWidth="1"/>
    <col min="13313" max="13313" width="11.85546875" customWidth="1"/>
    <col min="13314" max="13314" width="31" customWidth="1"/>
    <col min="13315" max="13315" width="31.140625" customWidth="1"/>
    <col min="13316" max="13316" width="15.7109375" customWidth="1"/>
    <col min="13317" max="13317" width="16.28515625" customWidth="1"/>
    <col min="13318" max="13318" width="16" customWidth="1"/>
    <col min="13319" max="13319" width="17" customWidth="1"/>
    <col min="13569" max="13569" width="11.85546875" customWidth="1"/>
    <col min="13570" max="13570" width="31" customWidth="1"/>
    <col min="13571" max="13571" width="31.140625" customWidth="1"/>
    <col min="13572" max="13572" width="15.7109375" customWidth="1"/>
    <col min="13573" max="13573" width="16.28515625" customWidth="1"/>
    <col min="13574" max="13574" width="16" customWidth="1"/>
    <col min="13575" max="13575" width="17" customWidth="1"/>
    <col min="13825" max="13825" width="11.85546875" customWidth="1"/>
    <col min="13826" max="13826" width="31" customWidth="1"/>
    <col min="13827" max="13827" width="31.140625" customWidth="1"/>
    <col min="13828" max="13828" width="15.7109375" customWidth="1"/>
    <col min="13829" max="13829" width="16.28515625" customWidth="1"/>
    <col min="13830" max="13830" width="16" customWidth="1"/>
    <col min="13831" max="13831" width="17" customWidth="1"/>
    <col min="14081" max="14081" width="11.85546875" customWidth="1"/>
    <col min="14082" max="14082" width="31" customWidth="1"/>
    <col min="14083" max="14083" width="31.140625" customWidth="1"/>
    <col min="14084" max="14084" width="15.7109375" customWidth="1"/>
    <col min="14085" max="14085" width="16.28515625" customWidth="1"/>
    <col min="14086" max="14086" width="16" customWidth="1"/>
    <col min="14087" max="14087" width="17" customWidth="1"/>
    <col min="14337" max="14337" width="11.85546875" customWidth="1"/>
    <col min="14338" max="14338" width="31" customWidth="1"/>
    <col min="14339" max="14339" width="31.140625" customWidth="1"/>
    <col min="14340" max="14340" width="15.7109375" customWidth="1"/>
    <col min="14341" max="14341" width="16.28515625" customWidth="1"/>
    <col min="14342" max="14342" width="16" customWidth="1"/>
    <col min="14343" max="14343" width="17" customWidth="1"/>
    <col min="14593" max="14593" width="11.85546875" customWidth="1"/>
    <col min="14594" max="14594" width="31" customWidth="1"/>
    <col min="14595" max="14595" width="31.140625" customWidth="1"/>
    <col min="14596" max="14596" width="15.7109375" customWidth="1"/>
    <col min="14597" max="14597" width="16.28515625" customWidth="1"/>
    <col min="14598" max="14598" width="16" customWidth="1"/>
    <col min="14599" max="14599" width="17" customWidth="1"/>
    <col min="14849" max="14849" width="11.85546875" customWidth="1"/>
    <col min="14850" max="14850" width="31" customWidth="1"/>
    <col min="14851" max="14851" width="31.140625" customWidth="1"/>
    <col min="14852" max="14852" width="15.7109375" customWidth="1"/>
    <col min="14853" max="14853" width="16.28515625" customWidth="1"/>
    <col min="14854" max="14854" width="16" customWidth="1"/>
    <col min="14855" max="14855" width="17" customWidth="1"/>
    <col min="15105" max="15105" width="11.85546875" customWidth="1"/>
    <col min="15106" max="15106" width="31" customWidth="1"/>
    <col min="15107" max="15107" width="31.140625" customWidth="1"/>
    <col min="15108" max="15108" width="15.7109375" customWidth="1"/>
    <col min="15109" max="15109" width="16.28515625" customWidth="1"/>
    <col min="15110" max="15110" width="16" customWidth="1"/>
    <col min="15111" max="15111" width="17" customWidth="1"/>
    <col min="15361" max="15361" width="11.85546875" customWidth="1"/>
    <col min="15362" max="15362" width="31" customWidth="1"/>
    <col min="15363" max="15363" width="31.140625" customWidth="1"/>
    <col min="15364" max="15364" width="15.7109375" customWidth="1"/>
    <col min="15365" max="15365" width="16.28515625" customWidth="1"/>
    <col min="15366" max="15366" width="16" customWidth="1"/>
    <col min="15367" max="15367" width="17" customWidth="1"/>
    <col min="15617" max="15617" width="11.85546875" customWidth="1"/>
    <col min="15618" max="15618" width="31" customWidth="1"/>
    <col min="15619" max="15619" width="31.140625" customWidth="1"/>
    <col min="15620" max="15620" width="15.7109375" customWidth="1"/>
    <col min="15621" max="15621" width="16.28515625" customWidth="1"/>
    <col min="15622" max="15622" width="16" customWidth="1"/>
    <col min="15623" max="15623" width="17" customWidth="1"/>
    <col min="15873" max="15873" width="11.85546875" customWidth="1"/>
    <col min="15874" max="15874" width="31" customWidth="1"/>
    <col min="15875" max="15875" width="31.140625" customWidth="1"/>
    <col min="15876" max="15876" width="15.7109375" customWidth="1"/>
    <col min="15877" max="15877" width="16.28515625" customWidth="1"/>
    <col min="15878" max="15878" width="16" customWidth="1"/>
    <col min="15879" max="15879" width="17" customWidth="1"/>
    <col min="16129" max="16129" width="11.85546875" customWidth="1"/>
    <col min="16130" max="16130" width="31" customWidth="1"/>
    <col min="16131" max="16131" width="31.140625" customWidth="1"/>
    <col min="16132" max="16132" width="15.7109375" customWidth="1"/>
    <col min="16133" max="16133" width="16.28515625" customWidth="1"/>
    <col min="16134" max="16134" width="16" customWidth="1"/>
    <col min="16135" max="16135" width="17" customWidth="1"/>
  </cols>
  <sheetData>
    <row r="1" spans="1:8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F4" s="44"/>
      <c r="G4" s="44"/>
      <c r="H4" s="44"/>
    </row>
    <row r="5" spans="1:8" ht="15.75" hidden="1" x14ac:dyDescent="0.25">
      <c r="A5" s="12"/>
      <c r="B5" s="12"/>
      <c r="C5" s="12"/>
      <c r="D5" s="12"/>
      <c r="F5" s="44"/>
      <c r="G5" s="44"/>
      <c r="H5" s="44"/>
    </row>
    <row r="6" spans="1:8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8" ht="15" hidden="1" x14ac:dyDescent="0.2">
      <c r="A7" s="12"/>
      <c r="B7" s="47"/>
      <c r="C7" s="47"/>
      <c r="D7" s="47"/>
      <c r="F7" s="45"/>
      <c r="G7" s="45"/>
      <c r="H7" s="45"/>
    </row>
    <row r="8" spans="1:8" ht="58.5" customHeight="1" thickBot="1" x14ac:dyDescent="0.25">
      <c r="A8" s="317" t="s">
        <v>370</v>
      </c>
      <c r="B8" s="324"/>
      <c r="C8" s="324"/>
      <c r="D8" s="324"/>
      <c r="E8" s="324"/>
      <c r="F8" s="324"/>
      <c r="G8" s="324"/>
    </row>
    <row r="9" spans="1:8" ht="56.25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99" t="s">
        <v>70</v>
      </c>
      <c r="F9" s="100" t="s">
        <v>71</v>
      </c>
      <c r="G9" s="101" t="s">
        <v>5</v>
      </c>
      <c r="H9" s="87" t="s">
        <v>216</v>
      </c>
    </row>
    <row r="10" spans="1:8" ht="43.5" customHeight="1" x14ac:dyDescent="0.2">
      <c r="A10" s="38" t="s">
        <v>109</v>
      </c>
      <c r="B10" s="68" t="s">
        <v>73</v>
      </c>
      <c r="C10" s="68" t="s">
        <v>74</v>
      </c>
      <c r="D10" s="68">
        <v>3.6</v>
      </c>
      <c r="E10" s="68">
        <f>D10*K25</f>
        <v>3420</v>
      </c>
      <c r="F10" s="105">
        <f>C34*32+C26+C31*6+C25+C42*2</f>
        <v>11570.56</v>
      </c>
      <c r="G10" s="106">
        <f>E10+F10</f>
        <v>14990.56</v>
      </c>
    </row>
    <row r="11" spans="1:8" ht="42.75" customHeight="1" x14ac:dyDescent="0.2">
      <c r="A11" s="39" t="s">
        <v>110</v>
      </c>
      <c r="B11" s="4" t="s">
        <v>75</v>
      </c>
      <c r="C11" s="4" t="s">
        <v>244</v>
      </c>
      <c r="D11" s="4">
        <v>2.1</v>
      </c>
      <c r="E11" s="4">
        <f>D11*K25</f>
        <v>1995</v>
      </c>
      <c r="F11" s="55">
        <f>C34*32+C26+C25+C42*2</f>
        <v>9361.9599999999991</v>
      </c>
      <c r="G11" s="103">
        <f t="shared" ref="G11:G16" si="0">F11+E11</f>
        <v>11356.96</v>
      </c>
    </row>
    <row r="12" spans="1:8" ht="39.75" customHeight="1" x14ac:dyDescent="0.2">
      <c r="A12" s="39" t="s">
        <v>111</v>
      </c>
      <c r="B12" s="4" t="s">
        <v>76</v>
      </c>
      <c r="C12" s="4" t="s">
        <v>245</v>
      </c>
      <c r="D12" s="4">
        <v>2.6</v>
      </c>
      <c r="E12" s="4">
        <f>D12*K25</f>
        <v>2470</v>
      </c>
      <c r="F12" s="55">
        <f>C34*32+C26+C25+C27+C42*2</f>
        <v>16770.82</v>
      </c>
      <c r="G12" s="103">
        <f t="shared" si="0"/>
        <v>19240.82</v>
      </c>
    </row>
    <row r="13" spans="1:8" ht="42" customHeight="1" x14ac:dyDescent="0.2">
      <c r="A13" s="39" t="s">
        <v>112</v>
      </c>
      <c r="B13" s="4" t="s">
        <v>77</v>
      </c>
      <c r="C13" s="4" t="s">
        <v>78</v>
      </c>
      <c r="D13" s="4">
        <v>3.6</v>
      </c>
      <c r="E13" s="4">
        <f>D13*K25</f>
        <v>3420</v>
      </c>
      <c r="F13" s="55">
        <f>C34*32+C26+C31*6+C25+C42*2</f>
        <v>11570.56</v>
      </c>
      <c r="G13" s="103">
        <f t="shared" si="0"/>
        <v>14990.56</v>
      </c>
    </row>
    <row r="14" spans="1:8" ht="38.25" customHeight="1" x14ac:dyDescent="0.2">
      <c r="A14" s="39" t="s">
        <v>113</v>
      </c>
      <c r="B14" s="4" t="s">
        <v>79</v>
      </c>
      <c r="C14" s="4" t="s">
        <v>246</v>
      </c>
      <c r="D14" s="4">
        <v>2.1</v>
      </c>
      <c r="E14" s="4">
        <f>D14*K25</f>
        <v>1995</v>
      </c>
      <c r="F14" s="55">
        <f>C34*32+C26+C25+C42*2</f>
        <v>9361.9599999999991</v>
      </c>
      <c r="G14" s="103">
        <f t="shared" si="0"/>
        <v>11356.96</v>
      </c>
    </row>
    <row r="15" spans="1:8" ht="43.5" customHeight="1" thickBot="1" x14ac:dyDescent="0.25">
      <c r="A15" s="39" t="s">
        <v>14</v>
      </c>
      <c r="B15" s="4" t="s">
        <v>72</v>
      </c>
      <c r="C15" s="4" t="s">
        <v>257</v>
      </c>
      <c r="D15" s="4">
        <v>2</v>
      </c>
      <c r="E15" s="4">
        <f>D15*K25</f>
        <v>1900</v>
      </c>
      <c r="F15" s="55">
        <f>C28+C42*3+C30</f>
        <v>2594.19</v>
      </c>
      <c r="G15" s="104">
        <f t="shared" si="0"/>
        <v>4494.1900000000005</v>
      </c>
    </row>
    <row r="16" spans="1:8" ht="38.25" x14ac:dyDescent="0.2">
      <c r="A16" s="61" t="s">
        <v>114</v>
      </c>
      <c r="B16" s="20" t="s">
        <v>80</v>
      </c>
      <c r="C16" s="20" t="s">
        <v>247</v>
      </c>
      <c r="D16" s="20">
        <v>2.6</v>
      </c>
      <c r="E16" s="20">
        <f>D16*K25</f>
        <v>2470</v>
      </c>
      <c r="F16" s="55">
        <f>F12</f>
        <v>16770.82</v>
      </c>
      <c r="G16" s="102">
        <f t="shared" si="0"/>
        <v>19240.82</v>
      </c>
    </row>
    <row r="17" spans="1:11" ht="51" x14ac:dyDescent="0.2">
      <c r="A17" s="39" t="s">
        <v>115</v>
      </c>
      <c r="B17" s="4" t="s">
        <v>82</v>
      </c>
      <c r="C17" s="4" t="s">
        <v>83</v>
      </c>
      <c r="D17" s="4">
        <v>4.7</v>
      </c>
      <c r="E17" s="4">
        <f>D17*K25</f>
        <v>4465</v>
      </c>
      <c r="F17" s="55">
        <f>C34*32+C26+C31*6+C29+C25+C37*15+C42*3</f>
        <v>17981.189999999999</v>
      </c>
      <c r="G17" s="103">
        <f>E17+F17</f>
        <v>22446.19</v>
      </c>
    </row>
    <row r="18" spans="1:11" ht="25.5" x14ac:dyDescent="0.2">
      <c r="A18" s="39" t="s">
        <v>116</v>
      </c>
      <c r="B18" s="4" t="s">
        <v>84</v>
      </c>
      <c r="C18" s="4" t="s">
        <v>85</v>
      </c>
      <c r="D18" s="4">
        <v>2.1</v>
      </c>
      <c r="E18" s="4">
        <f>D18*K25</f>
        <v>1995</v>
      </c>
      <c r="F18" s="55">
        <f>F14</f>
        <v>9361.9599999999991</v>
      </c>
      <c r="G18" s="103">
        <f>F18+E18</f>
        <v>11356.96</v>
      </c>
    </row>
    <row r="19" spans="1:11" ht="38.25" x14ac:dyDescent="0.2">
      <c r="A19" s="39" t="s">
        <v>117</v>
      </c>
      <c r="B19" s="123" t="s">
        <v>86</v>
      </c>
      <c r="C19" s="4" t="s">
        <v>81</v>
      </c>
      <c r="D19" s="4">
        <v>2.6</v>
      </c>
      <c r="E19" s="4">
        <f>D19*K25</f>
        <v>2470</v>
      </c>
      <c r="F19" s="55">
        <f>F16</f>
        <v>16770.82</v>
      </c>
      <c r="G19" s="103">
        <f>F19+E19</f>
        <v>19240.82</v>
      </c>
    </row>
    <row r="20" spans="1:11" ht="38.25" x14ac:dyDescent="0.2">
      <c r="A20" s="107" t="s">
        <v>16</v>
      </c>
      <c r="B20" s="4" t="s">
        <v>154</v>
      </c>
      <c r="C20" s="4" t="s">
        <v>256</v>
      </c>
      <c r="D20" s="4">
        <v>1.6</v>
      </c>
      <c r="E20" s="4">
        <f>D20*K25</f>
        <v>1520</v>
      </c>
      <c r="F20" s="55">
        <f>C42*3+C30</f>
        <v>1964.07</v>
      </c>
      <c r="G20" s="103">
        <f>F20+E20</f>
        <v>3484.0699999999997</v>
      </c>
    </row>
    <row r="21" spans="1:11" ht="32.25" thickBot="1" x14ac:dyDescent="0.25">
      <c r="A21" s="40" t="s">
        <v>14</v>
      </c>
      <c r="B21" s="33" t="s">
        <v>15</v>
      </c>
      <c r="C21" s="33" t="s">
        <v>21</v>
      </c>
      <c r="D21" s="33">
        <v>0.7</v>
      </c>
      <c r="E21" s="33">
        <f>D21*K25</f>
        <v>665</v>
      </c>
      <c r="F21" s="56">
        <f>C28</f>
        <v>630.12</v>
      </c>
      <c r="G21" s="104">
        <f>F21+E21</f>
        <v>1295.1199999999999</v>
      </c>
    </row>
    <row r="22" spans="1:11" x14ac:dyDescent="0.2">
      <c r="A22" s="30"/>
      <c r="B22" s="17"/>
      <c r="C22" s="17"/>
      <c r="D22" s="17"/>
      <c r="E22" s="17"/>
      <c r="F22" s="17"/>
      <c r="G22" s="17"/>
      <c r="H22" s="10"/>
    </row>
    <row r="23" spans="1:11" ht="13.5" thickBot="1" x14ac:dyDescent="0.25">
      <c r="A23" s="30"/>
      <c r="D23" s="17"/>
      <c r="E23" s="17"/>
      <c r="F23" s="17"/>
      <c r="G23" s="17"/>
      <c r="H23" s="10"/>
    </row>
    <row r="24" spans="1:11" ht="16.5" thickBot="1" x14ac:dyDescent="0.25">
      <c r="A24" s="30"/>
      <c r="B24" s="90" t="s">
        <v>49</v>
      </c>
      <c r="C24" s="112" t="s">
        <v>121</v>
      </c>
      <c r="D24" s="17"/>
      <c r="E24" s="17"/>
      <c r="F24" s="17"/>
      <c r="G24" s="17"/>
      <c r="H24" s="10"/>
    </row>
    <row r="25" spans="1:11" ht="15" thickBot="1" x14ac:dyDescent="0.25">
      <c r="A25" s="30"/>
      <c r="B25" s="143" t="s">
        <v>155</v>
      </c>
      <c r="C25" s="153">
        <v>984.9</v>
      </c>
      <c r="D25" s="17"/>
      <c r="E25" s="17"/>
      <c r="H25" s="10"/>
      <c r="J25" s="118" t="s">
        <v>166</v>
      </c>
      <c r="K25" s="91">
        <v>950</v>
      </c>
    </row>
    <row r="26" spans="1:11" ht="14.25" x14ac:dyDescent="0.2">
      <c r="A26" s="30"/>
      <c r="B26" s="130" t="s">
        <v>449</v>
      </c>
      <c r="C26" s="197">
        <v>889.08</v>
      </c>
      <c r="D26" s="17"/>
      <c r="E26" s="17"/>
      <c r="F26" s="17"/>
      <c r="G26" s="17"/>
      <c r="H26" s="10"/>
    </row>
    <row r="27" spans="1:11" ht="14.25" x14ac:dyDescent="0.2">
      <c r="A27" s="30"/>
      <c r="B27" s="120" t="s">
        <v>467</v>
      </c>
      <c r="C27" s="149">
        <v>7408.86</v>
      </c>
      <c r="D27" s="17"/>
      <c r="E27" s="17"/>
      <c r="F27" s="17"/>
      <c r="G27" s="17"/>
      <c r="H27" s="10"/>
    </row>
    <row r="28" spans="1:11" ht="14.25" x14ac:dyDescent="0.2">
      <c r="A28" s="74"/>
      <c r="B28" s="120" t="s">
        <v>416</v>
      </c>
      <c r="C28" s="144">
        <v>630.12</v>
      </c>
      <c r="D28" s="74"/>
      <c r="E28" s="74"/>
      <c r="F28" s="74"/>
      <c r="G28" s="74"/>
      <c r="H28" s="10"/>
    </row>
    <row r="29" spans="1:11" ht="14.25" x14ac:dyDescent="0.2">
      <c r="B29" s="120" t="s">
        <v>458</v>
      </c>
      <c r="C29" s="126">
        <v>2352.48</v>
      </c>
      <c r="D29" s="142"/>
      <c r="H29" s="10"/>
    </row>
    <row r="30" spans="1:11" ht="14.25" x14ac:dyDescent="0.2">
      <c r="B30" s="120" t="s">
        <v>459</v>
      </c>
      <c r="C30" s="126">
        <v>967.62</v>
      </c>
      <c r="D30" s="12"/>
      <c r="H30" s="10"/>
    </row>
    <row r="31" spans="1:11" ht="14.25" x14ac:dyDescent="0.2">
      <c r="B31" s="130" t="s">
        <v>460</v>
      </c>
      <c r="C31" s="197">
        <v>368.1</v>
      </c>
      <c r="H31" s="10"/>
    </row>
    <row r="32" spans="1:11" ht="14.25" x14ac:dyDescent="0.2">
      <c r="B32" s="121" t="s">
        <v>468</v>
      </c>
      <c r="C32" s="149">
        <v>4507.68</v>
      </c>
      <c r="H32" s="10"/>
    </row>
    <row r="33" spans="2:8" ht="14.25" x14ac:dyDescent="0.2">
      <c r="B33" s="121" t="s">
        <v>470</v>
      </c>
      <c r="C33" s="144">
        <v>2896.44</v>
      </c>
      <c r="H33" s="10"/>
    </row>
    <row r="34" spans="2:8" ht="14.25" x14ac:dyDescent="0.2">
      <c r="B34" s="120" t="s">
        <v>431</v>
      </c>
      <c r="C34" s="126">
        <v>213.24</v>
      </c>
      <c r="H34" s="10"/>
    </row>
    <row r="35" spans="2:8" ht="14.25" x14ac:dyDescent="0.2">
      <c r="B35" s="120" t="s">
        <v>451</v>
      </c>
      <c r="C35" s="135">
        <v>188.16</v>
      </c>
      <c r="H35" s="10"/>
    </row>
    <row r="36" spans="2:8" ht="14.25" x14ac:dyDescent="0.2">
      <c r="B36" s="120" t="s">
        <v>452</v>
      </c>
      <c r="C36" s="135">
        <v>260.60000000000002</v>
      </c>
      <c r="H36" s="10"/>
    </row>
    <row r="37" spans="2:8" ht="14.25" x14ac:dyDescent="0.2">
      <c r="B37" s="120" t="s">
        <v>461</v>
      </c>
      <c r="C37" s="144">
        <v>248.4</v>
      </c>
      <c r="H37" s="10"/>
    </row>
    <row r="38" spans="2:8" ht="14.25" x14ac:dyDescent="0.2">
      <c r="B38" s="120" t="s">
        <v>462</v>
      </c>
      <c r="C38" s="144">
        <v>996.4</v>
      </c>
      <c r="H38" s="10"/>
    </row>
    <row r="39" spans="2:8" ht="14.25" x14ac:dyDescent="0.2">
      <c r="B39" s="120" t="s">
        <v>466</v>
      </c>
      <c r="C39" s="144">
        <v>1072.2</v>
      </c>
      <c r="H39" s="10"/>
    </row>
    <row r="40" spans="2:8" ht="14.25" x14ac:dyDescent="0.2">
      <c r="B40" s="130" t="s">
        <v>435</v>
      </c>
      <c r="C40" s="126">
        <v>625.91999999999996</v>
      </c>
      <c r="H40" s="10"/>
    </row>
    <row r="41" spans="2:8" ht="28.5" x14ac:dyDescent="0.2">
      <c r="B41" s="130" t="s">
        <v>436</v>
      </c>
      <c r="C41" s="126">
        <v>681.12</v>
      </c>
      <c r="H41" s="10"/>
    </row>
    <row r="42" spans="2:8" ht="14.25" x14ac:dyDescent="0.2">
      <c r="B42" s="120" t="s">
        <v>464</v>
      </c>
      <c r="C42" s="144">
        <v>332.15</v>
      </c>
      <c r="H42" s="10"/>
    </row>
    <row r="43" spans="2:8" ht="14.25" x14ac:dyDescent="0.2">
      <c r="B43" s="130" t="s">
        <v>469</v>
      </c>
      <c r="C43" s="126">
        <v>15.69</v>
      </c>
      <c r="H43" s="10"/>
    </row>
    <row r="44" spans="2:8" ht="15" thickBot="1" x14ac:dyDescent="0.25">
      <c r="B44" s="155" t="s">
        <v>48</v>
      </c>
      <c r="C44" s="145">
        <v>36</v>
      </c>
      <c r="H44" s="10"/>
    </row>
  </sheetData>
  <sheetProtection algorithmName="SHA-512" hashValue="YSjpWH8163Qy0PhlEUeDP8spkVRpbuFOL2S/8BxAXMIeXP2EDFePnuNBVEpdPQeYN676QKlePd3k1J09EB1Prg==" saltValue="55Xqordv79nQqlCNPBZHAg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B20">
      <selection activeCell="E43" sqref="E43"/>
      <pageMargins left="0.25" right="0.25" top="0.75" bottom="0.75" header="0.3" footer="0.3"/>
      <pageSetup paperSize="9" scale="67" orientation="portrait" r:id="rId1"/>
    </customSheetView>
  </customSheetViews>
  <mergeCells count="1">
    <mergeCell ref="A8:G8"/>
  </mergeCells>
  <pageMargins left="0.25" right="0.25" top="0.75" bottom="0.75" header="0.3" footer="0.3"/>
  <pageSetup paperSize="9" scale="67" orientation="portrait" r:id="rId2"/>
  <ignoredErrors>
    <ignoredError sqref="F17:G17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20" workbookViewId="0">
      <selection activeCell="B41" sqref="B41"/>
    </sheetView>
  </sheetViews>
  <sheetFormatPr defaultRowHeight="12.75" x14ac:dyDescent="0.2"/>
  <cols>
    <col min="1" max="1" width="25.5703125" style="10" customWidth="1"/>
    <col min="2" max="2" width="41.42578125" style="10" customWidth="1"/>
    <col min="3" max="3" width="44" style="10" customWidth="1"/>
    <col min="4" max="4" width="11.28515625" style="10" customWidth="1"/>
    <col min="5" max="5" width="14.85546875" style="10" customWidth="1"/>
    <col min="6" max="7" width="14.7109375" style="10" customWidth="1"/>
    <col min="8" max="8" width="9.140625" style="10" hidden="1" customWidth="1"/>
    <col min="9" max="10" width="9.140625" hidden="1" customWidth="1"/>
    <col min="11" max="11" width="7.28515625" hidden="1" customWidth="1"/>
    <col min="12" max="12" width="1" customWidth="1"/>
    <col min="13" max="13" width="9.85546875" customWidth="1"/>
  </cols>
  <sheetData>
    <row r="1" spans="1:8" ht="15.75" hidden="1" x14ac:dyDescent="0.25">
      <c r="A1" s="12"/>
      <c r="B1" s="12"/>
      <c r="C1" s="12"/>
      <c r="D1" s="12"/>
      <c r="E1" s="44" t="s">
        <v>118</v>
      </c>
      <c r="F1" s="44"/>
      <c r="G1" s="44"/>
    </row>
    <row r="2" spans="1:8" ht="15.75" hidden="1" x14ac:dyDescent="0.25">
      <c r="A2" s="12"/>
      <c r="B2" s="12"/>
      <c r="C2" s="12"/>
      <c r="D2" s="12"/>
      <c r="E2" s="44" t="s">
        <v>119</v>
      </c>
      <c r="F2" s="44"/>
      <c r="G2" s="44"/>
    </row>
    <row r="3" spans="1:8" ht="15.75" hidden="1" x14ac:dyDescent="0.25">
      <c r="A3" s="12"/>
      <c r="B3" s="12"/>
      <c r="C3" s="12"/>
      <c r="D3" s="12"/>
      <c r="E3" s="44" t="s">
        <v>120</v>
      </c>
      <c r="F3" s="44"/>
      <c r="G3" s="44"/>
    </row>
    <row r="4" spans="1:8" ht="15.75" hidden="1" x14ac:dyDescent="0.25">
      <c r="A4" s="12"/>
      <c r="B4" s="12"/>
      <c r="C4" s="12"/>
      <c r="D4" s="12"/>
      <c r="E4" s="44"/>
      <c r="F4" s="44"/>
      <c r="G4" s="44"/>
    </row>
    <row r="5" spans="1:8" ht="15.75" hidden="1" x14ac:dyDescent="0.25">
      <c r="A5" s="12"/>
      <c r="B5" s="12"/>
      <c r="C5" s="12"/>
      <c r="D5" s="12"/>
      <c r="E5" s="44"/>
      <c r="F5" s="44"/>
      <c r="G5" s="44"/>
    </row>
    <row r="6" spans="1:8" ht="15.75" hidden="1" x14ac:dyDescent="0.25">
      <c r="A6" s="12"/>
      <c r="B6" s="12"/>
      <c r="C6" s="12"/>
      <c r="D6" s="12"/>
      <c r="E6" s="44" t="s">
        <v>179</v>
      </c>
      <c r="F6" s="44"/>
      <c r="G6" s="44"/>
    </row>
    <row r="7" spans="1:8" ht="15" hidden="1" x14ac:dyDescent="0.2">
      <c r="A7" s="12"/>
      <c r="B7" s="47"/>
      <c r="C7" s="47"/>
      <c r="D7" s="47"/>
      <c r="E7" s="45"/>
      <c r="F7" s="45"/>
      <c r="G7" s="45"/>
    </row>
    <row r="8" spans="1:8" ht="49.5" customHeight="1" thickBot="1" x14ac:dyDescent="0.25">
      <c r="A8" s="317" t="s">
        <v>181</v>
      </c>
      <c r="B8" s="324"/>
      <c r="C8" s="324"/>
      <c r="D8" s="324"/>
      <c r="E8" s="324"/>
      <c r="F8" s="324"/>
      <c r="G8" s="324"/>
      <c r="H8"/>
    </row>
    <row r="9" spans="1:8" ht="48" thickBot="1" x14ac:dyDescent="0.25">
      <c r="A9" s="41" t="s">
        <v>193</v>
      </c>
      <c r="B9" s="42" t="s">
        <v>1</v>
      </c>
      <c r="C9" s="42" t="s">
        <v>4</v>
      </c>
      <c r="D9" s="42" t="s">
        <v>2</v>
      </c>
      <c r="E9" s="99" t="s">
        <v>70</v>
      </c>
      <c r="F9" s="100" t="s">
        <v>71</v>
      </c>
      <c r="G9" s="110" t="s">
        <v>5</v>
      </c>
    </row>
    <row r="10" spans="1:8" ht="38.25" x14ac:dyDescent="0.2">
      <c r="A10" s="81" t="s">
        <v>194</v>
      </c>
      <c r="B10" s="4" t="s">
        <v>258</v>
      </c>
      <c r="C10" s="28" t="s">
        <v>161</v>
      </c>
      <c r="D10" s="28">
        <v>0.9</v>
      </c>
      <c r="E10" s="4">
        <f>D10*K22</f>
        <v>855</v>
      </c>
      <c r="F10" s="205">
        <f>C33*18+C23</f>
        <v>4353.9000000000005</v>
      </c>
      <c r="G10" s="207">
        <f t="shared" ref="G10:G18" si="0">F10+E10</f>
        <v>5208.9000000000005</v>
      </c>
    </row>
    <row r="11" spans="1:8" ht="38.25" x14ac:dyDescent="0.2">
      <c r="A11" s="98" t="s">
        <v>126</v>
      </c>
      <c r="B11" s="28" t="s">
        <v>158</v>
      </c>
      <c r="C11" s="28" t="s">
        <v>162</v>
      </c>
      <c r="D11" s="28">
        <v>3.2</v>
      </c>
      <c r="E11" s="28">
        <f>D11*K22</f>
        <v>3040</v>
      </c>
      <c r="F11" s="206">
        <f>C35*4.1+C35*3.9</f>
        <v>4750.24</v>
      </c>
      <c r="G11" s="208">
        <f t="shared" si="0"/>
        <v>7790.24</v>
      </c>
    </row>
    <row r="12" spans="1:8" ht="38.25" x14ac:dyDescent="0.2">
      <c r="A12" s="98" t="s">
        <v>127</v>
      </c>
      <c r="B12" s="28" t="s">
        <v>259</v>
      </c>
      <c r="C12" s="28" t="s">
        <v>155</v>
      </c>
      <c r="D12" s="28">
        <v>0.6</v>
      </c>
      <c r="E12" s="4">
        <f>D12*K22</f>
        <v>570</v>
      </c>
      <c r="F12" s="204">
        <f>C23</f>
        <v>515.58000000000004</v>
      </c>
      <c r="G12" s="208">
        <f t="shared" si="0"/>
        <v>1085.58</v>
      </c>
    </row>
    <row r="13" spans="1:8" ht="51" x14ac:dyDescent="0.2">
      <c r="A13" s="98" t="s">
        <v>128</v>
      </c>
      <c r="B13" s="28" t="s">
        <v>260</v>
      </c>
      <c r="C13" s="28" t="s">
        <v>163</v>
      </c>
      <c r="D13" s="28">
        <v>5.6</v>
      </c>
      <c r="E13" s="4">
        <f>D13*K22</f>
        <v>5320</v>
      </c>
      <c r="F13" s="204">
        <f>C21+C22+C23+C25+C27+C28+C30+C33*16+C36*3+C37+18*C39+C26</f>
        <v>20110.25</v>
      </c>
      <c r="G13" s="208">
        <f t="shared" si="0"/>
        <v>25430.25</v>
      </c>
    </row>
    <row r="14" spans="1:8" ht="38.25" x14ac:dyDescent="0.2">
      <c r="A14" s="81" t="s">
        <v>129</v>
      </c>
      <c r="B14" s="28" t="s">
        <v>259</v>
      </c>
      <c r="C14" s="28" t="s">
        <v>155</v>
      </c>
      <c r="D14" s="28">
        <v>0.6</v>
      </c>
      <c r="E14" s="28">
        <f>D14*K22</f>
        <v>570</v>
      </c>
      <c r="F14" s="206">
        <f>F12</f>
        <v>515.58000000000004</v>
      </c>
      <c r="G14" s="208">
        <f t="shared" si="0"/>
        <v>1085.58</v>
      </c>
    </row>
    <row r="15" spans="1:8" ht="76.5" x14ac:dyDescent="0.2">
      <c r="A15" s="81" t="s">
        <v>130</v>
      </c>
      <c r="B15" s="4" t="s">
        <v>261</v>
      </c>
      <c r="C15" s="28" t="s">
        <v>164</v>
      </c>
      <c r="D15" s="28">
        <v>7.4</v>
      </c>
      <c r="E15" s="4">
        <f>D15*K22</f>
        <v>7030</v>
      </c>
      <c r="F15" s="204">
        <f>C21+C22+C23+C25+C27+C28+C30+C33*16+C35*8+C36*3+C39*18+C40+13*C34</f>
        <v>61587.21</v>
      </c>
      <c r="G15" s="208">
        <f t="shared" si="0"/>
        <v>68617.209999999992</v>
      </c>
    </row>
    <row r="16" spans="1:8" ht="38.25" x14ac:dyDescent="0.2">
      <c r="A16" s="81" t="s">
        <v>131</v>
      </c>
      <c r="B16" s="28" t="s">
        <v>262</v>
      </c>
      <c r="C16" s="28" t="s">
        <v>155</v>
      </c>
      <c r="D16" s="28">
        <v>0.6</v>
      </c>
      <c r="E16" s="4">
        <f>D16*K22</f>
        <v>570</v>
      </c>
      <c r="F16" s="204">
        <f>F12</f>
        <v>515.58000000000004</v>
      </c>
      <c r="G16" s="208">
        <f t="shared" si="0"/>
        <v>1085.58</v>
      </c>
    </row>
    <row r="17" spans="1:11" ht="15.75" x14ac:dyDescent="0.2">
      <c r="A17" s="81" t="s">
        <v>132</v>
      </c>
      <c r="B17" s="4" t="s">
        <v>159</v>
      </c>
      <c r="C17" s="4" t="s">
        <v>21</v>
      </c>
      <c r="D17" s="4">
        <v>1.3</v>
      </c>
      <c r="E17" s="4">
        <f>D17*K22</f>
        <v>1235</v>
      </c>
      <c r="F17" s="204">
        <f>C26</f>
        <v>4662.4799999999996</v>
      </c>
      <c r="G17" s="83">
        <f t="shared" si="0"/>
        <v>5897.48</v>
      </c>
    </row>
    <row r="18" spans="1:11" ht="15.75" x14ac:dyDescent="0.2">
      <c r="A18" s="81" t="s">
        <v>156</v>
      </c>
      <c r="B18" s="4" t="s">
        <v>160</v>
      </c>
      <c r="C18" s="4" t="s">
        <v>133</v>
      </c>
      <c r="D18" s="4">
        <v>1.4</v>
      </c>
      <c r="E18" s="4">
        <f>D18*K22</f>
        <v>1330</v>
      </c>
      <c r="F18" s="204">
        <f>C24+C36*3</f>
        <v>5152.7400000000007</v>
      </c>
      <c r="G18" s="83">
        <f t="shared" si="0"/>
        <v>6482.7400000000007</v>
      </c>
    </row>
    <row r="19" spans="1:11" ht="26.25" thickBot="1" x14ac:dyDescent="0.25">
      <c r="A19" s="81" t="s">
        <v>157</v>
      </c>
      <c r="B19" s="4" t="s">
        <v>134</v>
      </c>
      <c r="C19" s="4" t="s">
        <v>165</v>
      </c>
      <c r="D19" s="4">
        <v>3.1</v>
      </c>
      <c r="E19" s="4">
        <f>D19*K22</f>
        <v>2945</v>
      </c>
      <c r="F19" s="4">
        <f>C31*13+C41*13+C38</f>
        <v>9684.4499999999989</v>
      </c>
      <c r="G19" s="82">
        <f>E19+F19</f>
        <v>12629.449999999999</v>
      </c>
    </row>
    <row r="20" spans="1:11" ht="16.5" thickBot="1" x14ac:dyDescent="0.25">
      <c r="B20" s="111" t="s">
        <v>49</v>
      </c>
      <c r="C20" s="112" t="s">
        <v>121</v>
      </c>
    </row>
    <row r="21" spans="1:11" ht="15" thickBot="1" x14ac:dyDescent="0.25">
      <c r="A21" s="108"/>
      <c r="B21" s="157" t="s">
        <v>135</v>
      </c>
      <c r="C21" s="153">
        <v>3034.92</v>
      </c>
    </row>
    <row r="22" spans="1:11" ht="26.25" thickBot="1" x14ac:dyDescent="0.25">
      <c r="A22" s="108"/>
      <c r="B22" s="120" t="s">
        <v>449</v>
      </c>
      <c r="C22" s="126">
        <v>630.12</v>
      </c>
      <c r="J22" s="118" t="s">
        <v>166</v>
      </c>
      <c r="K22" s="91">
        <v>950</v>
      </c>
    </row>
    <row r="23" spans="1:11" ht="14.25" x14ac:dyDescent="0.2">
      <c r="A23" s="108"/>
      <c r="B23" s="143" t="s">
        <v>155</v>
      </c>
      <c r="C23" s="125">
        <v>515.58000000000004</v>
      </c>
    </row>
    <row r="24" spans="1:11" ht="14.25" x14ac:dyDescent="0.2">
      <c r="A24" s="108"/>
      <c r="B24" s="158" t="s">
        <v>136</v>
      </c>
      <c r="C24" s="126">
        <v>4307.1000000000004</v>
      </c>
      <c r="D24" s="12"/>
    </row>
    <row r="25" spans="1:11" ht="14.25" x14ac:dyDescent="0.2">
      <c r="A25" s="108"/>
      <c r="B25" s="120" t="s">
        <v>458</v>
      </c>
      <c r="C25" s="126">
        <v>2352.48</v>
      </c>
      <c r="D25" s="142"/>
    </row>
    <row r="26" spans="1:11" ht="14.25" x14ac:dyDescent="0.2">
      <c r="A26" s="108"/>
      <c r="B26" s="158" t="s">
        <v>137</v>
      </c>
      <c r="C26" s="149">
        <v>4662.4799999999996</v>
      </c>
    </row>
    <row r="27" spans="1:11" ht="14.25" x14ac:dyDescent="0.2">
      <c r="A27" s="108"/>
      <c r="B27" s="158" t="s">
        <v>138</v>
      </c>
      <c r="C27" s="149">
        <v>1357.72</v>
      </c>
      <c r="D27" s="167"/>
    </row>
    <row r="28" spans="1:11" ht="14.25" x14ac:dyDescent="0.2">
      <c r="A28" s="108"/>
      <c r="B28" s="158" t="s">
        <v>139</v>
      </c>
      <c r="C28" s="149">
        <v>23.6</v>
      </c>
      <c r="D28" s="167"/>
    </row>
    <row r="29" spans="1:11" ht="14.25" x14ac:dyDescent="0.2">
      <c r="A29" s="108"/>
      <c r="B29" s="158" t="s">
        <v>139</v>
      </c>
      <c r="C29" s="154">
        <v>24.5</v>
      </c>
    </row>
    <row r="30" spans="1:11" ht="14.25" x14ac:dyDescent="0.2">
      <c r="A30" s="108"/>
      <c r="B30" s="158" t="s">
        <v>471</v>
      </c>
      <c r="C30" s="149">
        <v>241.13</v>
      </c>
    </row>
    <row r="31" spans="1:11" ht="14.25" x14ac:dyDescent="0.2">
      <c r="A31" s="108"/>
      <c r="B31" s="130" t="s">
        <v>436</v>
      </c>
      <c r="C31" s="126">
        <v>681.12</v>
      </c>
    </row>
    <row r="32" spans="1:11" ht="14.25" x14ac:dyDescent="0.2">
      <c r="A32" s="108"/>
      <c r="B32" s="158" t="s">
        <v>140</v>
      </c>
      <c r="C32" s="154">
        <v>365.5</v>
      </c>
    </row>
    <row r="33" spans="1:4" ht="14.25" x14ac:dyDescent="0.2">
      <c r="A33" s="108"/>
      <c r="B33" s="120" t="s">
        <v>431</v>
      </c>
      <c r="C33" s="126">
        <v>213.24</v>
      </c>
    </row>
    <row r="34" spans="1:4" ht="14.25" x14ac:dyDescent="0.2">
      <c r="A34" s="109"/>
      <c r="B34" s="158" t="s">
        <v>192</v>
      </c>
      <c r="C34" s="154">
        <v>3194.64</v>
      </c>
    </row>
    <row r="35" spans="1:4" ht="14.25" x14ac:dyDescent="0.2">
      <c r="A35" s="108"/>
      <c r="B35" s="158" t="s">
        <v>195</v>
      </c>
      <c r="C35" s="144">
        <v>593.78</v>
      </c>
    </row>
    <row r="36" spans="1:4" ht="14.25" x14ac:dyDescent="0.2">
      <c r="A36" s="108"/>
      <c r="B36" s="158" t="s">
        <v>141</v>
      </c>
      <c r="C36" s="144">
        <v>281.88</v>
      </c>
    </row>
    <row r="37" spans="1:4" ht="14.25" x14ac:dyDescent="0.2">
      <c r="A37" s="108"/>
      <c r="B37" s="120" t="s">
        <v>460</v>
      </c>
      <c r="C37" s="126">
        <v>1277.4000000000001</v>
      </c>
    </row>
    <row r="38" spans="1:4" ht="14.25" x14ac:dyDescent="0.2">
      <c r="A38" s="108"/>
      <c r="B38" s="130" t="s">
        <v>435</v>
      </c>
      <c r="C38" s="126">
        <v>625.91999999999996</v>
      </c>
    </row>
    <row r="39" spans="1:4" ht="14.25" x14ac:dyDescent="0.2">
      <c r="A39" s="108"/>
      <c r="B39" s="158" t="s">
        <v>182</v>
      </c>
      <c r="C39" s="154">
        <v>97.63</v>
      </c>
      <c r="D39" s="167"/>
    </row>
    <row r="40" spans="1:4" ht="14.25" x14ac:dyDescent="0.2">
      <c r="B40" s="158" t="s">
        <v>142</v>
      </c>
      <c r="C40" s="149">
        <v>1136.28</v>
      </c>
    </row>
    <row r="41" spans="1:4" ht="14.25" x14ac:dyDescent="0.2">
      <c r="B41" s="130" t="s">
        <v>438</v>
      </c>
      <c r="C41" s="126">
        <v>15.69</v>
      </c>
    </row>
  </sheetData>
  <sheetProtection algorithmName="SHA-512" hashValue="9o1HUSEIuYWezf4/wm50mFOKSqb9bGUpylSTg4tEo0qwerPx2dcKkhnfXNdnXZmGUwFV/y0yy9ilzl0lTJV9Cg==" saltValue="6CVzVLZo5p08K7w7PyCEjQ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0">
      <selection activeCell="B41" sqref="B41"/>
      <pageMargins left="0.25" right="0.25" top="0.75" bottom="0.75" header="0.3" footer="0.3"/>
      <pageSetup paperSize="9" scale="60" orientation="portrait" r:id="rId1"/>
    </customSheetView>
  </customSheetViews>
  <mergeCells count="1">
    <mergeCell ref="A8:G8"/>
  </mergeCells>
  <pageMargins left="0.25" right="0.25" top="0.75" bottom="0.75" header="0.3" footer="0.3"/>
  <pageSetup paperSize="9" scale="60"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A23" workbookViewId="0">
      <selection activeCell="E60" sqref="E60:E61"/>
    </sheetView>
  </sheetViews>
  <sheetFormatPr defaultRowHeight="12.75" x14ac:dyDescent="0.2"/>
  <cols>
    <col min="1" max="1" width="15.7109375" style="10" customWidth="1"/>
    <col min="2" max="2" width="35.85546875" style="10" customWidth="1"/>
    <col min="3" max="3" width="37.5703125" style="10" customWidth="1"/>
    <col min="4" max="4" width="9.140625" style="10"/>
    <col min="5" max="5" width="14.140625" style="10" customWidth="1"/>
    <col min="6" max="6" width="13" style="10" customWidth="1"/>
    <col min="7" max="7" width="13.5703125" style="10" customWidth="1"/>
    <col min="8" max="8" width="0.140625" style="10" hidden="1" customWidth="1"/>
    <col min="9" max="9" width="16" hidden="1" customWidth="1"/>
    <col min="10" max="10" width="16.28515625" hidden="1" customWidth="1"/>
    <col min="11" max="11" width="9.42578125" hidden="1" customWidth="1"/>
    <col min="12" max="12" width="13" hidden="1" customWidth="1"/>
    <col min="13" max="13" width="12.42578125" customWidth="1"/>
    <col min="14" max="14" width="15.28515625" customWidth="1"/>
    <col min="15" max="15" width="11.5703125" customWidth="1"/>
    <col min="16" max="16" width="24" customWidth="1"/>
  </cols>
  <sheetData>
    <row r="1" spans="1:10" ht="15.75" hidden="1" x14ac:dyDescent="0.25">
      <c r="A1" s="12"/>
      <c r="B1" s="12"/>
      <c r="C1" s="12"/>
      <c r="D1" s="12"/>
      <c r="E1" s="44" t="s">
        <v>118</v>
      </c>
      <c r="F1" s="44"/>
      <c r="G1" s="44"/>
      <c r="H1" s="57"/>
    </row>
    <row r="2" spans="1:10" ht="15.75" hidden="1" x14ac:dyDescent="0.25">
      <c r="A2" s="12"/>
      <c r="B2" s="12"/>
      <c r="C2" s="12"/>
      <c r="D2" s="12"/>
      <c r="E2" s="44" t="s">
        <v>119</v>
      </c>
      <c r="F2" s="44"/>
      <c r="G2" s="44"/>
      <c r="H2" s="57"/>
    </row>
    <row r="3" spans="1:10" ht="15.75" hidden="1" x14ac:dyDescent="0.25">
      <c r="A3" s="12"/>
      <c r="B3" s="12"/>
      <c r="C3" s="12"/>
      <c r="D3" s="12"/>
      <c r="E3" s="44" t="s">
        <v>120</v>
      </c>
      <c r="F3" s="44"/>
      <c r="G3" s="44"/>
      <c r="H3" s="57"/>
    </row>
    <row r="4" spans="1:10" ht="15.75" hidden="1" x14ac:dyDescent="0.25">
      <c r="A4" s="12"/>
      <c r="B4" s="12"/>
      <c r="C4" s="12"/>
      <c r="D4" s="12"/>
      <c r="E4" s="44"/>
      <c r="F4" s="44"/>
      <c r="G4" s="44"/>
      <c r="H4" s="57"/>
    </row>
    <row r="5" spans="1:10" ht="15.75" hidden="1" x14ac:dyDescent="0.25">
      <c r="A5" s="12"/>
      <c r="B5" s="12"/>
      <c r="C5" s="12"/>
      <c r="D5" s="12"/>
      <c r="E5" s="44"/>
      <c r="F5" s="44"/>
      <c r="G5" s="44"/>
      <c r="H5" s="57"/>
    </row>
    <row r="6" spans="1:10" ht="15.75" hidden="1" x14ac:dyDescent="0.25">
      <c r="A6" s="12"/>
      <c r="B6" s="12"/>
      <c r="C6" s="12"/>
      <c r="D6" s="12"/>
      <c r="E6" s="44" t="s">
        <v>179</v>
      </c>
      <c r="F6" s="44"/>
      <c r="G6" s="44"/>
      <c r="H6" s="57"/>
    </row>
    <row r="7" spans="1:10" ht="15" hidden="1" x14ac:dyDescent="0.2">
      <c r="A7" s="12"/>
      <c r="B7" s="47"/>
      <c r="C7" s="47"/>
      <c r="D7" s="47"/>
      <c r="E7" s="45"/>
      <c r="F7" s="45"/>
      <c r="G7" s="45"/>
      <c r="H7" s="45"/>
    </row>
    <row r="8" spans="1:10" ht="45.75" customHeight="1" thickBot="1" x14ac:dyDescent="0.25">
      <c r="A8" s="317" t="s">
        <v>371</v>
      </c>
      <c r="B8" s="285"/>
      <c r="C8" s="285"/>
      <c r="D8" s="285"/>
      <c r="E8" s="285"/>
      <c r="F8" s="285"/>
      <c r="G8" s="285"/>
      <c r="H8"/>
    </row>
    <row r="9" spans="1:10" ht="52.5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196</v>
      </c>
      <c r="I9" s="1"/>
      <c r="J9" s="1"/>
    </row>
    <row r="10" spans="1:10" ht="25.5" x14ac:dyDescent="0.2">
      <c r="A10" s="298" t="s">
        <v>92</v>
      </c>
      <c r="B10" s="319" t="s">
        <v>8</v>
      </c>
      <c r="C10" s="165" t="s">
        <v>263</v>
      </c>
      <c r="D10" s="165">
        <f>0.8+0.7</f>
        <v>1.5</v>
      </c>
      <c r="E10" s="165">
        <f>D10*K44</f>
        <v>1425</v>
      </c>
      <c r="F10" s="165">
        <f>C37+C38+C46*16+C55</f>
        <v>4601.46</v>
      </c>
      <c r="G10" s="76">
        <f t="shared" ref="G10:G32" si="0">E10+F10</f>
        <v>6026.46</v>
      </c>
    </row>
    <row r="11" spans="1:10" ht="25.5" x14ac:dyDescent="0.2">
      <c r="A11" s="287"/>
      <c r="B11" s="289"/>
      <c r="C11" s="162" t="s">
        <v>264</v>
      </c>
      <c r="D11" s="162">
        <f>0.8+0.7</f>
        <v>1.5</v>
      </c>
      <c r="E11" s="162">
        <f>D11*K44</f>
        <v>1425</v>
      </c>
      <c r="F11" s="162">
        <f>C37+C38+C47*16+C55</f>
        <v>4200.18</v>
      </c>
      <c r="G11" s="77">
        <f t="shared" si="0"/>
        <v>5625.18</v>
      </c>
    </row>
    <row r="12" spans="1:10" ht="38.25" x14ac:dyDescent="0.2">
      <c r="A12" s="287" t="s">
        <v>93</v>
      </c>
      <c r="B12" s="318" t="s">
        <v>11</v>
      </c>
      <c r="C12" s="164" t="s">
        <v>172</v>
      </c>
      <c r="D12" s="164">
        <f>0.8+0.7+0.8+0.2+0.9+0.5</f>
        <v>3.9</v>
      </c>
      <c r="E12" s="164">
        <f>D12*K44</f>
        <v>3705</v>
      </c>
      <c r="F12" s="164">
        <f>C37+C38+C42+C44+C46*16+C54+C55+C40</f>
        <v>8753.869999999999</v>
      </c>
      <c r="G12" s="77">
        <f t="shared" si="0"/>
        <v>12458.869999999999</v>
      </c>
    </row>
    <row r="13" spans="1:10" ht="25.5" x14ac:dyDescent="0.2">
      <c r="A13" s="287"/>
      <c r="B13" s="318"/>
      <c r="C13" s="164" t="s">
        <v>10</v>
      </c>
      <c r="D13" s="164">
        <v>3.9</v>
      </c>
      <c r="E13" s="164">
        <f>D13*K44</f>
        <v>3705</v>
      </c>
      <c r="F13" s="164">
        <f>C37+C38+C42+C44+C47*16+C54+C55+C40</f>
        <v>8352.5899999999983</v>
      </c>
      <c r="G13" s="77">
        <f t="shared" si="0"/>
        <v>12057.589999999998</v>
      </c>
    </row>
    <row r="14" spans="1:10" ht="25.5" x14ac:dyDescent="0.2">
      <c r="A14" s="287" t="s">
        <v>94</v>
      </c>
      <c r="B14" s="289" t="s">
        <v>8</v>
      </c>
      <c r="C14" s="162" t="s">
        <v>265</v>
      </c>
      <c r="D14" s="162">
        <f>0.8+0.7</f>
        <v>1.5</v>
      </c>
      <c r="E14" s="162">
        <f>D14*K44</f>
        <v>1425</v>
      </c>
      <c r="F14" s="162">
        <f>C37+C38+C46*16+C55</f>
        <v>4601.46</v>
      </c>
      <c r="G14" s="77">
        <f t="shared" si="0"/>
        <v>6026.46</v>
      </c>
    </row>
    <row r="15" spans="1:10" ht="25.5" x14ac:dyDescent="0.2">
      <c r="A15" s="287"/>
      <c r="B15" s="289"/>
      <c r="C15" s="162" t="s">
        <v>264</v>
      </c>
      <c r="D15" s="162">
        <f>0.8+0.7</f>
        <v>1.5</v>
      </c>
      <c r="E15" s="162">
        <f>D15*K44</f>
        <v>1425</v>
      </c>
      <c r="F15" s="162">
        <f>C37+C38+C47*16+C55</f>
        <v>4200.18</v>
      </c>
      <c r="G15" s="77">
        <f t="shared" si="0"/>
        <v>5625.18</v>
      </c>
    </row>
    <row r="16" spans="1:10" ht="51" x14ac:dyDescent="0.2">
      <c r="A16" s="287" t="s">
        <v>95</v>
      </c>
      <c r="B16" s="318" t="s">
        <v>199</v>
      </c>
      <c r="C16" s="164" t="s">
        <v>173</v>
      </c>
      <c r="D16" s="164">
        <f>0.8+0.7+0.8+0.2+0.3+0.4+0.3+0.5+0.4</f>
        <v>4.3999999999999995</v>
      </c>
      <c r="E16" s="164">
        <f>D16*K44</f>
        <v>4179.9999999999991</v>
      </c>
      <c r="F16" s="164">
        <f>C37+C38+C42+C44+C46*16+C54+C55+C48*11+C49*9+C45+C39+C40</f>
        <v>21068.750000000004</v>
      </c>
      <c r="G16" s="77">
        <f t="shared" si="0"/>
        <v>25248.750000000004</v>
      </c>
    </row>
    <row r="17" spans="1:7" ht="38.25" x14ac:dyDescent="0.2">
      <c r="A17" s="287"/>
      <c r="B17" s="318"/>
      <c r="C17" s="164" t="s">
        <v>19</v>
      </c>
      <c r="D17" s="164">
        <v>4.4000000000000004</v>
      </c>
      <c r="E17" s="164">
        <f>D17*K44</f>
        <v>4180</v>
      </c>
      <c r="F17" s="164">
        <f>C37+C38+C42+C44+C47*16+C54+C55+C48*11+C49*9+C45+C39+C40</f>
        <v>20667.47</v>
      </c>
      <c r="G17" s="77">
        <f t="shared" si="0"/>
        <v>24847.47</v>
      </c>
    </row>
    <row r="18" spans="1:7" ht="25.5" x14ac:dyDescent="0.2">
      <c r="A18" s="287" t="s">
        <v>96</v>
      </c>
      <c r="B18" s="289" t="s">
        <v>8</v>
      </c>
      <c r="C18" s="162" t="s">
        <v>265</v>
      </c>
      <c r="D18" s="162">
        <f>0.8+0.7</f>
        <v>1.5</v>
      </c>
      <c r="E18" s="162">
        <f>D18*K44</f>
        <v>1425</v>
      </c>
      <c r="F18" s="162">
        <f>C37+C38+C46*16+C55</f>
        <v>4601.46</v>
      </c>
      <c r="G18" s="77">
        <f t="shared" si="0"/>
        <v>6026.46</v>
      </c>
    </row>
    <row r="19" spans="1:7" ht="25.5" x14ac:dyDescent="0.2">
      <c r="A19" s="287"/>
      <c r="B19" s="289"/>
      <c r="C19" s="162" t="s">
        <v>264</v>
      </c>
      <c r="D19" s="162">
        <f>0.8+0.7</f>
        <v>1.5</v>
      </c>
      <c r="E19" s="162">
        <f>D19*K44</f>
        <v>1425</v>
      </c>
      <c r="F19" s="162">
        <f>C37+C38+C47*16+C55</f>
        <v>4200.18</v>
      </c>
      <c r="G19" s="77">
        <f t="shared" si="0"/>
        <v>5625.18</v>
      </c>
    </row>
    <row r="20" spans="1:7" ht="38.25" x14ac:dyDescent="0.2">
      <c r="A20" s="287" t="s">
        <v>97</v>
      </c>
      <c r="B20" s="318" t="s">
        <v>12</v>
      </c>
      <c r="C20" s="164" t="s">
        <v>174</v>
      </c>
      <c r="D20" s="164">
        <f>0.8+0.7+0.8+0.2+0.9+0.5</f>
        <v>3.9</v>
      </c>
      <c r="E20" s="164">
        <f>D20*K44</f>
        <v>3705</v>
      </c>
      <c r="F20" s="164">
        <f>C37+C38+C42+C44+C46*16+C54+C55+C40</f>
        <v>8753.869999999999</v>
      </c>
      <c r="G20" s="77">
        <f t="shared" si="0"/>
        <v>12458.869999999999</v>
      </c>
    </row>
    <row r="21" spans="1:7" ht="25.5" x14ac:dyDescent="0.2">
      <c r="A21" s="287"/>
      <c r="B21" s="318"/>
      <c r="C21" s="164" t="s">
        <v>175</v>
      </c>
      <c r="D21" s="164">
        <v>3.9</v>
      </c>
      <c r="E21" s="164">
        <f>D21*K44</f>
        <v>3705</v>
      </c>
      <c r="F21" s="164">
        <f>C37+C38+C42+C44+C47*16+C54+C55+C40</f>
        <v>8352.5899999999983</v>
      </c>
      <c r="G21" s="77">
        <f t="shared" si="0"/>
        <v>12057.589999999998</v>
      </c>
    </row>
    <row r="22" spans="1:7" ht="25.5" x14ac:dyDescent="0.2">
      <c r="A22" s="287" t="s">
        <v>98</v>
      </c>
      <c r="B22" s="289" t="s">
        <v>8</v>
      </c>
      <c r="C22" s="162" t="s">
        <v>265</v>
      </c>
      <c r="D22" s="162">
        <f>0.8+0.7</f>
        <v>1.5</v>
      </c>
      <c r="E22" s="162">
        <f>D22*K44</f>
        <v>1425</v>
      </c>
      <c r="F22" s="162">
        <f>C37+C38+C46*16+C55</f>
        <v>4601.46</v>
      </c>
      <c r="G22" s="77">
        <f t="shared" si="0"/>
        <v>6026.46</v>
      </c>
    </row>
    <row r="23" spans="1:7" ht="25.5" x14ac:dyDescent="0.2">
      <c r="A23" s="287"/>
      <c r="B23" s="289"/>
      <c r="C23" s="162" t="s">
        <v>264</v>
      </c>
      <c r="D23" s="162">
        <f>0.8+0.7</f>
        <v>1.5</v>
      </c>
      <c r="E23" s="162">
        <f>D23*K44</f>
        <v>1425</v>
      </c>
      <c r="F23" s="162">
        <f>C37+C38+C47*16+C55</f>
        <v>4200.18</v>
      </c>
      <c r="G23" s="77">
        <f t="shared" si="0"/>
        <v>5625.18</v>
      </c>
    </row>
    <row r="24" spans="1:7" ht="51" x14ac:dyDescent="0.2">
      <c r="A24" s="287" t="s">
        <v>99</v>
      </c>
      <c r="B24" s="318" t="s">
        <v>200</v>
      </c>
      <c r="C24" s="164" t="s">
        <v>176</v>
      </c>
      <c r="D24" s="164">
        <f>0.8+0.7+0.8+0.2+0.3+0.4+0.3+0.5+0.4</f>
        <v>4.3999999999999995</v>
      </c>
      <c r="E24" s="164">
        <f>D24*K44</f>
        <v>4179.9999999999991</v>
      </c>
      <c r="F24" s="164">
        <f>C37+C38+C42+C44+C46*16+C54+C55+C48*11+C49*9+C45+C39+C40</f>
        <v>21068.750000000004</v>
      </c>
      <c r="G24" s="77">
        <f t="shared" si="0"/>
        <v>25248.750000000004</v>
      </c>
    </row>
    <row r="25" spans="1:7" ht="25.5" x14ac:dyDescent="0.2">
      <c r="A25" s="287"/>
      <c r="B25" s="318"/>
      <c r="C25" s="164" t="s">
        <v>10</v>
      </c>
      <c r="D25" s="164">
        <v>4.4000000000000004</v>
      </c>
      <c r="E25" s="164">
        <f>D25*K44</f>
        <v>4180</v>
      </c>
      <c r="F25" s="164">
        <f>C37+C38+C42+C44+C47*16+C54+C55+C48*11+C49*9+C45+C39+C40</f>
        <v>20667.47</v>
      </c>
      <c r="G25" s="77">
        <f t="shared" si="0"/>
        <v>24847.47</v>
      </c>
    </row>
    <row r="26" spans="1:7" ht="25.5" x14ac:dyDescent="0.2">
      <c r="A26" s="287" t="s">
        <v>100</v>
      </c>
      <c r="B26" s="289" t="s">
        <v>8</v>
      </c>
      <c r="C26" s="162" t="s">
        <v>266</v>
      </c>
      <c r="D26" s="162">
        <f>0.8+0.7</f>
        <v>1.5</v>
      </c>
      <c r="E26" s="162">
        <f>D26*K44</f>
        <v>1425</v>
      </c>
      <c r="F26" s="162">
        <f>C37+C38+C46*16+C55</f>
        <v>4601.46</v>
      </c>
      <c r="G26" s="77">
        <f t="shared" si="0"/>
        <v>6026.46</v>
      </c>
    </row>
    <row r="27" spans="1:7" ht="25.5" x14ac:dyDescent="0.2">
      <c r="A27" s="287"/>
      <c r="B27" s="289"/>
      <c r="C27" s="162" t="s">
        <v>267</v>
      </c>
      <c r="D27" s="162">
        <f>0.8+0.7</f>
        <v>1.5</v>
      </c>
      <c r="E27" s="162">
        <f>D27*K44</f>
        <v>1425</v>
      </c>
      <c r="F27" s="162">
        <f>C37+C38+C47*16+C55</f>
        <v>4200.18</v>
      </c>
      <c r="G27" s="77">
        <f t="shared" si="0"/>
        <v>5625.18</v>
      </c>
    </row>
    <row r="28" spans="1:7" ht="25.5" x14ac:dyDescent="0.2">
      <c r="A28" s="287" t="s">
        <v>101</v>
      </c>
      <c r="B28" s="318" t="s">
        <v>13</v>
      </c>
      <c r="C28" s="164" t="s">
        <v>9</v>
      </c>
      <c r="D28" s="164">
        <f>0.8+0.7+0.8+0.2+0.9+0.5</f>
        <v>3.9</v>
      </c>
      <c r="E28" s="164">
        <f>D28*K44</f>
        <v>3705</v>
      </c>
      <c r="F28" s="164">
        <f>C37+C38+C42+C44+C46*16+C54+C55+C40</f>
        <v>8753.869999999999</v>
      </c>
      <c r="G28" s="77">
        <f t="shared" si="0"/>
        <v>12458.869999999999</v>
      </c>
    </row>
    <row r="29" spans="1:7" ht="25.5" x14ac:dyDescent="0.2">
      <c r="A29" s="287"/>
      <c r="B29" s="318"/>
      <c r="C29" s="164" t="s">
        <v>10</v>
      </c>
      <c r="D29" s="164">
        <v>3.9</v>
      </c>
      <c r="E29" s="164">
        <f>D29*K44</f>
        <v>3705</v>
      </c>
      <c r="F29" s="164">
        <f>C37+C38+C42+C44+C47*16+C54+C55+C40</f>
        <v>8352.5899999999983</v>
      </c>
      <c r="G29" s="77">
        <f t="shared" si="0"/>
        <v>12057.589999999998</v>
      </c>
    </row>
    <row r="30" spans="1:7" ht="25.5" x14ac:dyDescent="0.2">
      <c r="A30" s="160" t="s">
        <v>14</v>
      </c>
      <c r="B30" s="15" t="s">
        <v>15</v>
      </c>
      <c r="C30" s="162" t="s">
        <v>268</v>
      </c>
      <c r="D30" s="15">
        <f>0.6+0.5+0.3+0.1+0.3</f>
        <v>1.8000000000000003</v>
      </c>
      <c r="E30" s="15">
        <f>D30*K44</f>
        <v>1710.0000000000002</v>
      </c>
      <c r="F30" s="15">
        <f>C41+C54</f>
        <v>1115.03</v>
      </c>
      <c r="G30" s="78">
        <f t="shared" si="0"/>
        <v>2825.03</v>
      </c>
    </row>
    <row r="31" spans="1:7" ht="31.5" x14ac:dyDescent="0.2">
      <c r="A31" s="160" t="s">
        <v>16</v>
      </c>
      <c r="B31" s="164" t="s">
        <v>151</v>
      </c>
      <c r="C31" s="63" t="s">
        <v>17</v>
      </c>
      <c r="D31" s="63">
        <f>0.6+0.5+0.3+0.1+0.3</f>
        <v>1.8000000000000003</v>
      </c>
      <c r="E31" s="63">
        <f>D31*K44</f>
        <v>1710.0000000000002</v>
      </c>
      <c r="F31" s="63">
        <f>C43+C54+C41</f>
        <v>2082.65</v>
      </c>
      <c r="G31" s="78">
        <f t="shared" si="0"/>
        <v>3792.6500000000005</v>
      </c>
    </row>
    <row r="32" spans="1:7" ht="64.5" thickBot="1" x14ac:dyDescent="0.25">
      <c r="A32" s="163" t="s">
        <v>249</v>
      </c>
      <c r="B32" s="75" t="s">
        <v>201</v>
      </c>
      <c r="C32" s="75" t="s">
        <v>248</v>
      </c>
      <c r="D32" s="75">
        <f>0.6+0.5+0.3+0.5+0.2</f>
        <v>2.1</v>
      </c>
      <c r="E32" s="75">
        <f>D32*K44</f>
        <v>1995</v>
      </c>
      <c r="F32" s="75">
        <f>C39+C52+C53*10+C56*10</f>
        <v>12747.62</v>
      </c>
      <c r="G32" s="79">
        <f t="shared" si="0"/>
        <v>14742.62</v>
      </c>
    </row>
    <row r="33" spans="1:11" x14ac:dyDescent="0.2">
      <c r="A33" s="17"/>
      <c r="B33" s="17"/>
      <c r="C33" s="17"/>
      <c r="D33" s="17"/>
      <c r="E33" s="17"/>
      <c r="F33" s="17"/>
      <c r="G33" s="67"/>
    </row>
    <row r="34" spans="1:11" x14ac:dyDescent="0.2">
      <c r="A34" s="17"/>
      <c r="B34" s="17"/>
      <c r="C34" s="17"/>
      <c r="D34" s="17"/>
      <c r="E34" s="17"/>
      <c r="F34" s="17"/>
      <c r="G34" s="67"/>
    </row>
    <row r="35" spans="1:11" ht="13.5" thickBot="1" x14ac:dyDescent="0.25">
      <c r="A35" s="12"/>
      <c r="B35" s="12"/>
      <c r="C35" s="12"/>
      <c r="D35" s="12"/>
      <c r="E35" s="12"/>
      <c r="F35" s="12"/>
      <c r="G35" s="12"/>
    </row>
    <row r="36" spans="1:11" ht="18.75" thickBot="1" x14ac:dyDescent="0.25">
      <c r="A36" s="12"/>
      <c r="B36" s="80" t="s">
        <v>49</v>
      </c>
      <c r="C36" s="147" t="s">
        <v>121</v>
      </c>
      <c r="D36" s="12"/>
      <c r="E36" s="12"/>
      <c r="F36" s="12"/>
      <c r="G36" s="12"/>
    </row>
    <row r="37" spans="1:11" ht="14.25" x14ac:dyDescent="0.2">
      <c r="A37" s="12"/>
      <c r="B37" s="143" t="s">
        <v>155</v>
      </c>
      <c r="C37" s="125">
        <v>515.58000000000004</v>
      </c>
      <c r="D37" s="12"/>
      <c r="E37" s="12"/>
      <c r="F37" s="12"/>
      <c r="G37" s="12"/>
    </row>
    <row r="38" spans="1:11" ht="14.25" x14ac:dyDescent="0.2">
      <c r="A38" s="12"/>
      <c r="B38" s="120" t="s">
        <v>449</v>
      </c>
      <c r="C38" s="126">
        <v>630.12</v>
      </c>
      <c r="D38" s="12"/>
      <c r="E38" s="12"/>
      <c r="F38" s="12"/>
      <c r="G38" s="12"/>
    </row>
    <row r="39" spans="1:11" ht="14.25" x14ac:dyDescent="0.2">
      <c r="A39" s="12"/>
      <c r="B39" s="120" t="s">
        <v>465</v>
      </c>
      <c r="C39" s="130">
        <f>3621.6+1532</f>
        <v>5153.6000000000004</v>
      </c>
      <c r="D39" s="12"/>
      <c r="E39" s="12"/>
      <c r="F39" s="12"/>
      <c r="G39" s="12"/>
    </row>
    <row r="40" spans="1:11" ht="14.25" x14ac:dyDescent="0.2">
      <c r="A40" s="12"/>
      <c r="B40" s="120" t="s">
        <v>471</v>
      </c>
      <c r="C40" s="149">
        <v>190.38</v>
      </c>
      <c r="D40" s="12"/>
      <c r="E40" s="12"/>
      <c r="F40" s="12"/>
      <c r="G40" s="12"/>
    </row>
    <row r="41" spans="1:11" ht="14.25" x14ac:dyDescent="0.2">
      <c r="A41" s="12"/>
      <c r="B41" s="120" t="s">
        <v>416</v>
      </c>
      <c r="C41" s="126">
        <v>782.88</v>
      </c>
      <c r="D41" s="12"/>
      <c r="E41" s="12"/>
      <c r="F41" s="12"/>
      <c r="G41" s="12"/>
    </row>
    <row r="42" spans="1:11" ht="14.25" x14ac:dyDescent="0.2">
      <c r="A42" s="12"/>
      <c r="B42" s="120" t="s">
        <v>458</v>
      </c>
      <c r="C42" s="126">
        <v>2352.48</v>
      </c>
      <c r="D42" s="12"/>
      <c r="E42" s="12"/>
      <c r="F42" s="12"/>
      <c r="G42" s="12"/>
    </row>
    <row r="43" spans="1:11" ht="15" thickBot="1" x14ac:dyDescent="0.25">
      <c r="A43" s="12"/>
      <c r="B43" s="120" t="s">
        <v>459</v>
      </c>
      <c r="C43" s="126">
        <v>967.62</v>
      </c>
      <c r="D43" s="12"/>
      <c r="E43" s="12"/>
      <c r="F43" s="12"/>
      <c r="G43" s="12"/>
    </row>
    <row r="44" spans="1:11" ht="15" thickBot="1" x14ac:dyDescent="0.25">
      <c r="A44" s="12"/>
      <c r="B44" s="120" t="s">
        <v>460</v>
      </c>
      <c r="C44" s="126">
        <v>1277.4000000000001</v>
      </c>
      <c r="D44" s="12"/>
      <c r="E44" s="12"/>
      <c r="F44" s="12"/>
      <c r="G44" s="12"/>
      <c r="J44" s="118" t="s">
        <v>166</v>
      </c>
      <c r="K44" s="119">
        <v>950</v>
      </c>
    </row>
    <row r="45" spans="1:11" ht="14.25" x14ac:dyDescent="0.2">
      <c r="A45" s="12"/>
      <c r="B45" s="121" t="s">
        <v>472</v>
      </c>
      <c r="C45" s="148">
        <v>2059.08</v>
      </c>
      <c r="D45" s="12"/>
      <c r="E45" s="12"/>
    </row>
    <row r="46" spans="1:11" ht="14.25" x14ac:dyDescent="0.2">
      <c r="A46" s="12"/>
      <c r="B46" s="120" t="s">
        <v>431</v>
      </c>
      <c r="C46" s="126">
        <v>213.24</v>
      </c>
      <c r="D46" s="12"/>
      <c r="E46" s="12"/>
      <c r="F46" s="12"/>
      <c r="G46" s="12"/>
    </row>
    <row r="47" spans="1:11" ht="14.25" x14ac:dyDescent="0.2">
      <c r="A47" s="12"/>
      <c r="B47" s="120" t="s">
        <v>451</v>
      </c>
      <c r="C47" s="135">
        <v>188.16</v>
      </c>
      <c r="D47" s="12"/>
      <c r="E47" s="12"/>
      <c r="F47" s="12"/>
      <c r="G47" s="12"/>
    </row>
    <row r="48" spans="1:11" ht="14.25" x14ac:dyDescent="0.2">
      <c r="A48" s="12"/>
      <c r="B48" s="120" t="s">
        <v>452</v>
      </c>
      <c r="C48" s="135">
        <v>260.60000000000002</v>
      </c>
      <c r="D48" s="12"/>
      <c r="E48" s="12"/>
      <c r="F48" s="12"/>
      <c r="G48" s="12"/>
    </row>
    <row r="49" spans="2:3" ht="14.25" x14ac:dyDescent="0.2">
      <c r="B49" s="120" t="s">
        <v>461</v>
      </c>
      <c r="C49" s="144">
        <v>248.4</v>
      </c>
    </row>
    <row r="50" spans="2:3" ht="14.25" x14ac:dyDescent="0.2">
      <c r="B50" s="120" t="s">
        <v>462</v>
      </c>
      <c r="C50" s="144">
        <v>996.4</v>
      </c>
    </row>
    <row r="51" spans="2:3" ht="14.25" x14ac:dyDescent="0.2">
      <c r="B51" s="120" t="s">
        <v>466</v>
      </c>
      <c r="C51" s="144">
        <v>1072.2</v>
      </c>
    </row>
    <row r="52" spans="2:3" ht="14.25" x14ac:dyDescent="0.2">
      <c r="B52" s="130" t="s">
        <v>435</v>
      </c>
      <c r="C52" s="126">
        <v>625.91999999999996</v>
      </c>
    </row>
    <row r="53" spans="2:3" ht="14.25" x14ac:dyDescent="0.2">
      <c r="B53" s="130" t="s">
        <v>436</v>
      </c>
      <c r="C53" s="126">
        <v>681.12</v>
      </c>
    </row>
    <row r="54" spans="2:3" ht="14.25" x14ac:dyDescent="0.2">
      <c r="B54" s="120" t="s">
        <v>391</v>
      </c>
      <c r="C54" s="144">
        <v>332.15</v>
      </c>
    </row>
    <row r="55" spans="2:3" ht="14.25" x14ac:dyDescent="0.2">
      <c r="B55" s="120" t="s">
        <v>445</v>
      </c>
      <c r="C55" s="144">
        <v>43.92</v>
      </c>
    </row>
    <row r="56" spans="2:3" ht="14.25" x14ac:dyDescent="0.2">
      <c r="B56" s="130" t="s">
        <v>438</v>
      </c>
      <c r="C56" s="126">
        <v>15.69</v>
      </c>
    </row>
  </sheetData>
  <sheetProtection algorithmName="SHA-512" hashValue="6WpO+J4F7zLnZlcCU2DwyPBhw4DE68FGiKZXXwj1864/rtNF50P055gFFd/CsvX22vKBOKZ/nv7W9co4FhyK2A==" saltValue="UzZ0EkFtrTTftdg6VxrLuA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3">
      <selection activeCell="E60" sqref="E60:E61"/>
      <colBreaks count="1" manualBreakCount="1">
        <brk id="8" min="7" max="55" man="1"/>
      </colBreaks>
      <pageMargins left="0.7" right="0.7" top="0.75" bottom="0.75" header="0.3" footer="0.3"/>
      <pageSetup paperSize="9" scale="56" orientation="portrait" r:id="rId1"/>
    </customSheetView>
  </customSheetViews>
  <mergeCells count="21">
    <mergeCell ref="B10:B11"/>
    <mergeCell ref="A12:A13"/>
    <mergeCell ref="B12:B13"/>
    <mergeCell ref="A14:A15"/>
    <mergeCell ref="B14:B15"/>
    <mergeCell ref="A8:G8"/>
    <mergeCell ref="A28:A29"/>
    <mergeCell ref="B28:B29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</mergeCells>
  <pageMargins left="0.7" right="0.7" top="0.75" bottom="0.75" header="0.3" footer="0.3"/>
  <pageSetup paperSize="9" scale="56" orientation="portrait" r:id="rId2"/>
  <colBreaks count="1" manualBreakCount="1">
    <brk id="8" min="7" max="5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27" workbookViewId="0">
      <selection activeCell="B58" sqref="B57:B58"/>
    </sheetView>
  </sheetViews>
  <sheetFormatPr defaultRowHeight="12.75" x14ac:dyDescent="0.2"/>
  <cols>
    <col min="1" max="1" width="16.28515625" style="10" customWidth="1"/>
    <col min="2" max="2" width="34.85546875" style="10" customWidth="1"/>
    <col min="3" max="3" width="36.140625" style="10" customWidth="1"/>
    <col min="4" max="4" width="12.140625" style="10" customWidth="1"/>
    <col min="5" max="5" width="14" style="10" customWidth="1"/>
    <col min="6" max="6" width="13.42578125" style="10" customWidth="1"/>
    <col min="7" max="7" width="13.140625" style="10" customWidth="1"/>
    <col min="8" max="8" width="0.140625" style="10" hidden="1" customWidth="1"/>
    <col min="9" max="9" width="20" style="10" hidden="1" customWidth="1"/>
    <col min="10" max="10" width="9.42578125" hidden="1" customWidth="1"/>
    <col min="11" max="11" width="6.42578125" hidden="1" customWidth="1"/>
    <col min="12" max="12" width="6.5703125" customWidth="1"/>
    <col min="13" max="13" width="5.5703125" customWidth="1"/>
  </cols>
  <sheetData>
    <row r="1" spans="1:9" ht="15.75" hidden="1" x14ac:dyDescent="0.25">
      <c r="A1" s="12"/>
      <c r="B1" s="12"/>
      <c r="C1" s="12"/>
      <c r="D1" s="12"/>
      <c r="F1" s="44" t="s">
        <v>118</v>
      </c>
      <c r="G1" s="44"/>
      <c r="H1" s="44"/>
      <c r="I1"/>
    </row>
    <row r="2" spans="1:9" ht="15.75" hidden="1" x14ac:dyDescent="0.25">
      <c r="A2" s="12"/>
      <c r="B2" s="12"/>
      <c r="C2" s="12"/>
      <c r="D2" s="12"/>
      <c r="F2" s="44" t="s">
        <v>119</v>
      </c>
      <c r="G2" s="44"/>
      <c r="H2" s="44"/>
      <c r="I2"/>
    </row>
    <row r="3" spans="1:9" ht="15.75" hidden="1" x14ac:dyDescent="0.25">
      <c r="A3" s="12"/>
      <c r="B3" s="12"/>
      <c r="C3" s="12"/>
      <c r="D3" s="12"/>
      <c r="F3" s="44" t="s">
        <v>120</v>
      </c>
      <c r="G3" s="44"/>
      <c r="H3" s="44"/>
      <c r="I3"/>
    </row>
    <row r="4" spans="1:9" ht="15.75" hidden="1" x14ac:dyDescent="0.25">
      <c r="A4" s="12"/>
      <c r="B4" s="12"/>
      <c r="C4" s="12"/>
      <c r="D4" s="12"/>
      <c r="F4" s="44"/>
      <c r="G4" s="44"/>
      <c r="H4" s="44"/>
      <c r="I4"/>
    </row>
    <row r="5" spans="1:9" ht="15.75" hidden="1" x14ac:dyDescent="0.25">
      <c r="A5" s="12"/>
      <c r="B5" s="12"/>
      <c r="C5" s="12"/>
      <c r="D5" s="12"/>
      <c r="F5" s="44"/>
      <c r="G5" s="44"/>
      <c r="H5" s="44"/>
      <c r="I5"/>
    </row>
    <row r="6" spans="1:9" ht="15.75" hidden="1" x14ac:dyDescent="0.25">
      <c r="A6" s="12"/>
      <c r="B6" s="12"/>
      <c r="C6" s="12"/>
      <c r="D6" s="12"/>
      <c r="F6" s="44" t="s">
        <v>179</v>
      </c>
      <c r="G6" s="44"/>
      <c r="H6" s="44"/>
      <c r="I6"/>
    </row>
    <row r="7" spans="1:9" ht="15" hidden="1" x14ac:dyDescent="0.2">
      <c r="A7" s="12"/>
      <c r="B7" s="47"/>
      <c r="C7" s="47"/>
      <c r="D7" s="47"/>
      <c r="F7" s="45"/>
      <c r="G7" s="45"/>
      <c r="H7" s="45"/>
      <c r="I7"/>
    </row>
    <row r="8" spans="1:9" ht="54.75" customHeight="1" thickBot="1" x14ac:dyDescent="0.25">
      <c r="A8" s="317" t="s">
        <v>372</v>
      </c>
      <c r="B8" s="324"/>
      <c r="C8" s="324"/>
      <c r="D8" s="324"/>
      <c r="E8" s="324"/>
      <c r="F8" s="324"/>
      <c r="G8" s="324"/>
      <c r="H8"/>
      <c r="I8"/>
    </row>
    <row r="9" spans="1:9" ht="54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93" t="s">
        <v>196</v>
      </c>
    </row>
    <row r="10" spans="1:9" ht="45.75" customHeight="1" x14ac:dyDescent="0.2">
      <c r="A10" s="320" t="s">
        <v>92</v>
      </c>
      <c r="B10" s="321" t="s">
        <v>8</v>
      </c>
      <c r="C10" s="166" t="s">
        <v>269</v>
      </c>
      <c r="D10" s="166">
        <f>0.8+0.8</f>
        <v>1.6</v>
      </c>
      <c r="E10" s="166">
        <f>D10*K36</f>
        <v>1520</v>
      </c>
      <c r="F10" s="166">
        <f>C34+C35+C44*29+C43</f>
        <v>7506</v>
      </c>
      <c r="G10" s="85">
        <f>E10+F10</f>
        <v>9026</v>
      </c>
    </row>
    <row r="11" spans="1:9" ht="25.5" hidden="1" customHeight="1" x14ac:dyDescent="0.2">
      <c r="A11" s="287"/>
      <c r="B11" s="289"/>
      <c r="C11" s="162" t="s">
        <v>50</v>
      </c>
      <c r="D11" s="162">
        <v>1.6</v>
      </c>
      <c r="E11" s="162">
        <f>1.6*298</f>
        <v>476.8</v>
      </c>
      <c r="F11" s="162">
        <v>2560.87</v>
      </c>
      <c r="G11" s="77">
        <f>476.8+2560.87</f>
        <v>3037.67</v>
      </c>
    </row>
    <row r="12" spans="1:9" ht="34.5" customHeight="1" x14ac:dyDescent="0.2">
      <c r="A12" s="287" t="s">
        <v>93</v>
      </c>
      <c r="B12" s="318" t="s">
        <v>11</v>
      </c>
      <c r="C12" s="164" t="s">
        <v>23</v>
      </c>
      <c r="D12" s="164">
        <f>0.8+0.8+0.8+0.2+1.1+0.5</f>
        <v>4.2000000000000011</v>
      </c>
      <c r="E12" s="164">
        <f>D12*K36</f>
        <v>3990.0000000000009</v>
      </c>
      <c r="F12" s="164">
        <f>C34+C35+C38+C42+C43+C44*29+C40</f>
        <v>11688.06</v>
      </c>
      <c r="G12" s="77">
        <f t="shared" ref="G12:G32" si="0">E12+F12</f>
        <v>15678.060000000001</v>
      </c>
    </row>
    <row r="13" spans="1:9" ht="30.75" customHeight="1" x14ac:dyDescent="0.2">
      <c r="A13" s="287"/>
      <c r="B13" s="318"/>
      <c r="C13" s="164" t="s">
        <v>24</v>
      </c>
      <c r="D13" s="164">
        <f>0.8+0.8+0.8+0.2+1.1+0.5</f>
        <v>4.2000000000000011</v>
      </c>
      <c r="E13" s="164">
        <f>D13*K36</f>
        <v>3990.0000000000009</v>
      </c>
      <c r="F13" s="164">
        <f>C34+C35+C38+C42+C43+C45*29+C40</f>
        <v>10960.74</v>
      </c>
      <c r="G13" s="77">
        <f t="shared" si="0"/>
        <v>14950.740000000002</v>
      </c>
    </row>
    <row r="14" spans="1:9" ht="25.5" x14ac:dyDescent="0.2">
      <c r="A14" s="287" t="s">
        <v>94</v>
      </c>
      <c r="B14" s="289" t="s">
        <v>8</v>
      </c>
      <c r="C14" s="162" t="s">
        <v>270</v>
      </c>
      <c r="D14" s="162">
        <f>0.8+0.8</f>
        <v>1.6</v>
      </c>
      <c r="E14" s="162">
        <f>D14*K36</f>
        <v>1520</v>
      </c>
      <c r="F14" s="162">
        <f>F10</f>
        <v>7506</v>
      </c>
      <c r="G14" s="77">
        <f t="shared" si="0"/>
        <v>9026</v>
      </c>
    </row>
    <row r="15" spans="1:9" ht="25.5" x14ac:dyDescent="0.2">
      <c r="A15" s="287"/>
      <c r="B15" s="289"/>
      <c r="C15" s="162" t="s">
        <v>271</v>
      </c>
      <c r="D15" s="162">
        <f>0.8+0.8</f>
        <v>1.6</v>
      </c>
      <c r="E15" s="162">
        <f>D15*K36</f>
        <v>1520</v>
      </c>
      <c r="F15" s="162">
        <f>C34+C35+C43+C45*29</f>
        <v>6778.68</v>
      </c>
      <c r="G15" s="77">
        <f t="shared" si="0"/>
        <v>8298.68</v>
      </c>
    </row>
    <row r="16" spans="1:9" ht="38.25" x14ac:dyDescent="0.2">
      <c r="A16" s="287" t="s">
        <v>95</v>
      </c>
      <c r="B16" s="318" t="s">
        <v>199</v>
      </c>
      <c r="C16" s="164" t="s">
        <v>25</v>
      </c>
      <c r="D16" s="164">
        <f>0.8+0.8+0.8+0.2+0.3+0.4+0.3+0.5+0.4</f>
        <v>4.5</v>
      </c>
      <c r="E16" s="164">
        <f>D16*K36</f>
        <v>4275</v>
      </c>
      <c r="F16" s="164">
        <f>C34+C35+C36+C38+C43+C44*29+C46*11+C47*9+C41+C40</f>
        <v>22363.74</v>
      </c>
      <c r="G16" s="77">
        <f t="shared" si="0"/>
        <v>26638.74</v>
      </c>
    </row>
    <row r="17" spans="1:7" ht="38.25" x14ac:dyDescent="0.2">
      <c r="A17" s="287"/>
      <c r="B17" s="318"/>
      <c r="C17" s="164" t="s">
        <v>26</v>
      </c>
      <c r="D17" s="164">
        <f>0.8+0.8+0.8+0.2+0.3+0.4+0.3+0.5+0.4</f>
        <v>4.5</v>
      </c>
      <c r="E17" s="164">
        <f>D17*K36</f>
        <v>4275</v>
      </c>
      <c r="F17" s="164">
        <f>C34+C35+C36+C38+C43+C45*29+C46*11+C47*9+C41+C40</f>
        <v>21636.420000000002</v>
      </c>
      <c r="G17" s="77">
        <f t="shared" si="0"/>
        <v>25911.420000000002</v>
      </c>
    </row>
    <row r="18" spans="1:7" ht="25.5" x14ac:dyDescent="0.2">
      <c r="A18" s="287" t="s">
        <v>96</v>
      </c>
      <c r="B18" s="289" t="s">
        <v>8</v>
      </c>
      <c r="C18" s="162" t="s">
        <v>270</v>
      </c>
      <c r="D18" s="162">
        <f>0.8+0.8</f>
        <v>1.6</v>
      </c>
      <c r="E18" s="162">
        <f>D18*K36</f>
        <v>1520</v>
      </c>
      <c r="F18" s="162">
        <f>F14</f>
        <v>7506</v>
      </c>
      <c r="G18" s="77">
        <f t="shared" si="0"/>
        <v>9026</v>
      </c>
    </row>
    <row r="19" spans="1:7" ht="25.5" x14ac:dyDescent="0.2">
      <c r="A19" s="287"/>
      <c r="B19" s="289"/>
      <c r="C19" s="162" t="s">
        <v>271</v>
      </c>
      <c r="D19" s="162">
        <f>0.8+0.8</f>
        <v>1.6</v>
      </c>
      <c r="E19" s="162">
        <f>E18</f>
        <v>1520</v>
      </c>
      <c r="F19" s="162">
        <f>F15</f>
        <v>6778.68</v>
      </c>
      <c r="G19" s="77">
        <f t="shared" si="0"/>
        <v>8298.68</v>
      </c>
    </row>
    <row r="20" spans="1:7" ht="25.5" x14ac:dyDescent="0.2">
      <c r="A20" s="287" t="s">
        <v>97</v>
      </c>
      <c r="B20" s="318" t="s">
        <v>12</v>
      </c>
      <c r="C20" s="164" t="s">
        <v>23</v>
      </c>
      <c r="D20" s="164">
        <f>0.8+0.8+0.8+0.2+1.1+0.5</f>
        <v>4.2000000000000011</v>
      </c>
      <c r="E20" s="164">
        <f>D20*K36</f>
        <v>3990.0000000000009</v>
      </c>
      <c r="F20" s="164">
        <f t="shared" ref="F20:F25" si="1">F12</f>
        <v>11688.06</v>
      </c>
      <c r="G20" s="77">
        <f t="shared" si="0"/>
        <v>15678.060000000001</v>
      </c>
    </row>
    <row r="21" spans="1:7" ht="25.5" x14ac:dyDescent="0.2">
      <c r="A21" s="287"/>
      <c r="B21" s="318"/>
      <c r="C21" s="164" t="s">
        <v>24</v>
      </c>
      <c r="D21" s="164">
        <f>0.8+0.8+0.8+0.2+1.1+0.5</f>
        <v>4.2000000000000011</v>
      </c>
      <c r="E21" s="164">
        <f>D21*K36</f>
        <v>3990.0000000000009</v>
      </c>
      <c r="F21" s="164">
        <f t="shared" si="1"/>
        <v>10960.74</v>
      </c>
      <c r="G21" s="77">
        <f t="shared" si="0"/>
        <v>14950.740000000002</v>
      </c>
    </row>
    <row r="22" spans="1:7" ht="25.5" x14ac:dyDescent="0.2">
      <c r="A22" s="287" t="s">
        <v>98</v>
      </c>
      <c r="B22" s="289" t="s">
        <v>8</v>
      </c>
      <c r="C22" s="162" t="s">
        <v>270</v>
      </c>
      <c r="D22" s="162">
        <f>0.8+0.8</f>
        <v>1.6</v>
      </c>
      <c r="E22" s="162">
        <f>D22*K36</f>
        <v>1520</v>
      </c>
      <c r="F22" s="162">
        <f t="shared" si="1"/>
        <v>7506</v>
      </c>
      <c r="G22" s="77">
        <f t="shared" si="0"/>
        <v>9026</v>
      </c>
    </row>
    <row r="23" spans="1:7" ht="25.5" x14ac:dyDescent="0.2">
      <c r="A23" s="287"/>
      <c r="B23" s="289"/>
      <c r="C23" s="162" t="s">
        <v>271</v>
      </c>
      <c r="D23" s="162">
        <f>0.8+0.8</f>
        <v>1.6</v>
      </c>
      <c r="E23" s="162">
        <f>D23*K36</f>
        <v>1520</v>
      </c>
      <c r="F23" s="162">
        <f t="shared" si="1"/>
        <v>6778.68</v>
      </c>
      <c r="G23" s="77">
        <f t="shared" si="0"/>
        <v>8298.68</v>
      </c>
    </row>
    <row r="24" spans="1:7" ht="38.25" x14ac:dyDescent="0.2">
      <c r="A24" s="287" t="s">
        <v>99</v>
      </c>
      <c r="B24" s="318" t="s">
        <v>200</v>
      </c>
      <c r="C24" s="164" t="s">
        <v>25</v>
      </c>
      <c r="D24" s="164">
        <f>0.8+0.8+0.8+0.2+0.3+0.4+0.3+0.5+0.4</f>
        <v>4.5</v>
      </c>
      <c r="E24" s="164">
        <f>D24*K36</f>
        <v>4275</v>
      </c>
      <c r="F24" s="164">
        <f t="shared" si="1"/>
        <v>22363.74</v>
      </c>
      <c r="G24" s="77">
        <f t="shared" si="0"/>
        <v>26638.74</v>
      </c>
    </row>
    <row r="25" spans="1:7" ht="38.25" x14ac:dyDescent="0.2">
      <c r="A25" s="287"/>
      <c r="B25" s="318"/>
      <c r="C25" s="164" t="s">
        <v>26</v>
      </c>
      <c r="D25" s="164">
        <f>0.8+0.8+0.8+0.2+0.3+0.4+0.3+0.5+0.4</f>
        <v>4.5</v>
      </c>
      <c r="E25" s="164">
        <f>D25*K36</f>
        <v>4275</v>
      </c>
      <c r="F25" s="164">
        <f t="shared" si="1"/>
        <v>21636.420000000002</v>
      </c>
      <c r="G25" s="77">
        <f t="shared" si="0"/>
        <v>25911.420000000002</v>
      </c>
    </row>
    <row r="26" spans="1:7" ht="25.5" x14ac:dyDescent="0.2">
      <c r="A26" s="287" t="s">
        <v>100</v>
      </c>
      <c r="B26" s="289" t="s">
        <v>8</v>
      </c>
      <c r="C26" s="162" t="s">
        <v>270</v>
      </c>
      <c r="D26" s="162">
        <v>1.6</v>
      </c>
      <c r="E26" s="162">
        <f>D26*K36</f>
        <v>1520</v>
      </c>
      <c r="F26" s="162">
        <f>F14</f>
        <v>7506</v>
      </c>
      <c r="G26" s="77">
        <f t="shared" si="0"/>
        <v>9026</v>
      </c>
    </row>
    <row r="27" spans="1:7" ht="25.5" x14ac:dyDescent="0.2">
      <c r="A27" s="287"/>
      <c r="B27" s="289"/>
      <c r="C27" s="162" t="s">
        <v>271</v>
      </c>
      <c r="D27" s="162">
        <v>1.6</v>
      </c>
      <c r="E27" s="162">
        <f>D27*K36</f>
        <v>1520</v>
      </c>
      <c r="F27" s="162">
        <f>F15</f>
        <v>6778.68</v>
      </c>
      <c r="G27" s="77">
        <f t="shared" si="0"/>
        <v>8298.68</v>
      </c>
    </row>
    <row r="28" spans="1:7" ht="25.5" x14ac:dyDescent="0.2">
      <c r="A28" s="287" t="s">
        <v>101</v>
      </c>
      <c r="B28" s="318" t="s">
        <v>13</v>
      </c>
      <c r="C28" s="164" t="s">
        <v>23</v>
      </c>
      <c r="D28" s="164">
        <f>0.8+0.8+0.8+0.2+1.1+0.5</f>
        <v>4.2000000000000011</v>
      </c>
      <c r="E28" s="164">
        <f>D28*K36</f>
        <v>3990.0000000000009</v>
      </c>
      <c r="F28" s="164">
        <f>F12</f>
        <v>11688.06</v>
      </c>
      <c r="G28" s="77">
        <f t="shared" si="0"/>
        <v>15678.060000000001</v>
      </c>
    </row>
    <row r="29" spans="1:7" ht="25.5" x14ac:dyDescent="0.2">
      <c r="A29" s="287"/>
      <c r="B29" s="318"/>
      <c r="C29" s="164" t="s">
        <v>24</v>
      </c>
      <c r="D29" s="164">
        <f>0.8+0.8+0.8+0.2+1.1+0.5</f>
        <v>4.2000000000000011</v>
      </c>
      <c r="E29" s="164">
        <f>D29*K36</f>
        <v>3990.0000000000009</v>
      </c>
      <c r="F29" s="164">
        <f>F13</f>
        <v>10960.74</v>
      </c>
      <c r="G29" s="77">
        <f t="shared" si="0"/>
        <v>14950.740000000002</v>
      </c>
    </row>
    <row r="30" spans="1:7" ht="25.5" x14ac:dyDescent="0.2">
      <c r="A30" s="160" t="s">
        <v>14</v>
      </c>
      <c r="B30" s="162" t="s">
        <v>72</v>
      </c>
      <c r="C30" s="162" t="s">
        <v>254</v>
      </c>
      <c r="D30" s="162">
        <f>0.6+0.5+0.3+0.1+0.3</f>
        <v>1.8000000000000003</v>
      </c>
      <c r="E30" s="162">
        <f>D30*K36</f>
        <v>1710.0000000000002</v>
      </c>
      <c r="F30" s="162">
        <f>C37+C39+C52</f>
        <v>2082.65</v>
      </c>
      <c r="G30" s="77">
        <f t="shared" si="0"/>
        <v>3792.6500000000005</v>
      </c>
    </row>
    <row r="31" spans="1:7" ht="31.5" x14ac:dyDescent="0.2">
      <c r="A31" s="160" t="s">
        <v>16</v>
      </c>
      <c r="B31" s="164" t="s">
        <v>151</v>
      </c>
      <c r="C31" s="164" t="s">
        <v>17</v>
      </c>
      <c r="D31" s="164">
        <f>0.6+0.5+0.3+0.1+0.3</f>
        <v>1.8000000000000003</v>
      </c>
      <c r="E31" s="164">
        <f>D31*K36</f>
        <v>1710.0000000000002</v>
      </c>
      <c r="F31" s="164">
        <f>C39+C52+C37</f>
        <v>2082.65</v>
      </c>
      <c r="G31" s="77">
        <f t="shared" si="0"/>
        <v>3792.6500000000005</v>
      </c>
    </row>
    <row r="32" spans="1:7" ht="64.5" thickBot="1" x14ac:dyDescent="0.25">
      <c r="A32" s="163" t="s">
        <v>249</v>
      </c>
      <c r="B32" s="33" t="s">
        <v>201</v>
      </c>
      <c r="C32" s="33" t="s">
        <v>18</v>
      </c>
      <c r="D32" s="33">
        <f>0.6+0.5+0.3+0.5+0.2</f>
        <v>2.1</v>
      </c>
      <c r="E32" s="33">
        <f>D32*K36</f>
        <v>1995</v>
      </c>
      <c r="F32" s="33">
        <f>C51*12+C53*11+C37+C36+C50</f>
        <v>14908.43</v>
      </c>
      <c r="G32" s="86">
        <f t="shared" si="0"/>
        <v>16903.43</v>
      </c>
    </row>
    <row r="33" spans="2:11" ht="21.75" customHeight="1" thickBot="1" x14ac:dyDescent="0.25">
      <c r="B33" s="84" t="s">
        <v>49</v>
      </c>
      <c r="C33" s="151" t="s">
        <v>121</v>
      </c>
    </row>
    <row r="34" spans="2:11" ht="14.25" x14ac:dyDescent="0.2">
      <c r="B34" s="143" t="s">
        <v>155</v>
      </c>
      <c r="C34" s="125">
        <v>649.26</v>
      </c>
    </row>
    <row r="35" spans="2:11" ht="15" thickBot="1" x14ac:dyDescent="0.25">
      <c r="B35" s="120" t="s">
        <v>449</v>
      </c>
      <c r="C35" s="126">
        <v>630.12</v>
      </c>
    </row>
    <row r="36" spans="2:11" ht="26.25" thickBot="1" x14ac:dyDescent="0.25">
      <c r="B36" s="120" t="s">
        <v>465</v>
      </c>
      <c r="C36" s="130">
        <f>3621.6+1532</f>
        <v>5153.6000000000004</v>
      </c>
      <c r="D36" s="12"/>
      <c r="J36" s="118" t="s">
        <v>166</v>
      </c>
      <c r="K36" s="91">
        <v>950</v>
      </c>
    </row>
    <row r="37" spans="2:11" ht="14.25" x14ac:dyDescent="0.2">
      <c r="B37" s="120" t="s">
        <v>416</v>
      </c>
      <c r="C37" s="126">
        <v>782.88</v>
      </c>
      <c r="D37" s="12"/>
    </row>
    <row r="38" spans="2:11" ht="14.25" x14ac:dyDescent="0.2">
      <c r="B38" s="120" t="s">
        <v>458</v>
      </c>
      <c r="C38" s="126">
        <v>2352.48</v>
      </c>
      <c r="D38" s="12"/>
    </row>
    <row r="39" spans="2:11" ht="14.25" x14ac:dyDescent="0.2">
      <c r="B39" s="120" t="s">
        <v>459</v>
      </c>
      <c r="C39" s="126">
        <v>967.62</v>
      </c>
      <c r="D39" s="12"/>
    </row>
    <row r="40" spans="2:11" ht="28.5" x14ac:dyDescent="0.2">
      <c r="B40" s="120" t="s">
        <v>471</v>
      </c>
      <c r="C40" s="149">
        <v>190.38</v>
      </c>
      <c r="D40" s="12"/>
    </row>
    <row r="41" spans="2:11" ht="14.25" x14ac:dyDescent="0.2">
      <c r="B41" s="121" t="s">
        <v>472</v>
      </c>
      <c r="C41" s="148">
        <v>2059.08</v>
      </c>
      <c r="D41" s="12"/>
    </row>
    <row r="42" spans="2:11" ht="14.25" x14ac:dyDescent="0.2">
      <c r="B42" s="120" t="s">
        <v>460</v>
      </c>
      <c r="C42" s="126">
        <v>1639.2</v>
      </c>
    </row>
    <row r="43" spans="2:11" ht="14.25" x14ac:dyDescent="0.2">
      <c r="B43" s="120" t="s">
        <v>445</v>
      </c>
      <c r="C43" s="144">
        <v>42.66</v>
      </c>
      <c r="D43" s="141"/>
    </row>
    <row r="44" spans="2:11" ht="14.25" x14ac:dyDescent="0.2">
      <c r="B44" s="120" t="s">
        <v>431</v>
      </c>
      <c r="C44" s="126">
        <v>213.24</v>
      </c>
    </row>
    <row r="45" spans="2:11" ht="14.25" x14ac:dyDescent="0.2">
      <c r="B45" s="120" t="s">
        <v>451</v>
      </c>
      <c r="C45" s="135">
        <v>188.16</v>
      </c>
    </row>
    <row r="46" spans="2:11" ht="14.25" x14ac:dyDescent="0.2">
      <c r="B46" s="120" t="s">
        <v>452</v>
      </c>
      <c r="C46" s="135">
        <v>260.60000000000002</v>
      </c>
    </row>
    <row r="47" spans="2:11" ht="14.25" x14ac:dyDescent="0.2">
      <c r="B47" s="120" t="s">
        <v>461</v>
      </c>
      <c r="C47" s="144">
        <v>248.4</v>
      </c>
    </row>
    <row r="48" spans="2:11" ht="14.25" x14ac:dyDescent="0.2">
      <c r="B48" s="120" t="s">
        <v>462</v>
      </c>
      <c r="C48" s="144">
        <v>996.4</v>
      </c>
    </row>
    <row r="49" spans="2:3" ht="14.25" x14ac:dyDescent="0.2">
      <c r="B49" s="120" t="s">
        <v>466</v>
      </c>
      <c r="C49" s="144">
        <v>1072.2</v>
      </c>
    </row>
    <row r="50" spans="2:3" ht="14.25" x14ac:dyDescent="0.2">
      <c r="B50" s="130" t="s">
        <v>435</v>
      </c>
      <c r="C50" s="126">
        <v>625.91999999999996</v>
      </c>
    </row>
    <row r="51" spans="2:3" ht="14.25" x14ac:dyDescent="0.2">
      <c r="B51" s="130" t="s">
        <v>436</v>
      </c>
      <c r="C51" s="126">
        <v>681.12</v>
      </c>
    </row>
    <row r="52" spans="2:3" ht="14.25" x14ac:dyDescent="0.2">
      <c r="B52" s="120" t="s">
        <v>464</v>
      </c>
      <c r="C52" s="144">
        <v>332.15</v>
      </c>
    </row>
    <row r="53" spans="2:3" ht="14.25" x14ac:dyDescent="0.2">
      <c r="B53" s="130" t="s">
        <v>438</v>
      </c>
      <c r="C53" s="126">
        <v>15.69</v>
      </c>
    </row>
  </sheetData>
  <sheetProtection algorithmName="SHA-512" hashValue="E0oJBrJ0ors4Gdwx3ENI5/SakrK4nm3tljGE0Bfw1nNAMWmqoE2P2g5kTWhc+6IUFBZELbTMf8WxZbZOUmWi1A==" saltValue="Ro9ILq5Q5BmMZVBc99oHwA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7">
      <selection activeCell="B58" sqref="B57:B58"/>
      <colBreaks count="1" manualBreakCount="1">
        <brk id="8" min="7" max="52" man="1"/>
      </colBreaks>
      <pageMargins left="0.7" right="0.7" top="0.75" bottom="0.75" header="0.3" footer="0.3"/>
      <pageSetup paperSize="9" scale="58" orientation="portrait" r:id="rId1"/>
    </customSheetView>
  </customSheetViews>
  <mergeCells count="21">
    <mergeCell ref="B10:B11"/>
    <mergeCell ref="A12:A13"/>
    <mergeCell ref="B12:B13"/>
    <mergeCell ref="A14:A15"/>
    <mergeCell ref="B14:B15"/>
    <mergeCell ref="A8:G8"/>
    <mergeCell ref="A28:A29"/>
    <mergeCell ref="B28:B29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</mergeCells>
  <pageMargins left="0.7" right="0.7" top="0.75" bottom="0.75" header="0.3" footer="0.3"/>
  <pageSetup paperSize="9" scale="58" orientation="portrait" r:id="rId2"/>
  <colBreaks count="1" manualBreakCount="1">
    <brk id="8" min="7" max="52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3" zoomScaleNormal="100" workbookViewId="0">
      <selection activeCell="C45" sqref="C45:C46"/>
    </sheetView>
  </sheetViews>
  <sheetFormatPr defaultRowHeight="12.75" x14ac:dyDescent="0.2"/>
  <cols>
    <col min="1" max="1" width="14.140625" style="10" customWidth="1"/>
    <col min="2" max="2" width="33.140625" style="10" customWidth="1"/>
    <col min="3" max="3" width="36.42578125" style="10" customWidth="1"/>
    <col min="4" max="4" width="10.28515625" style="10" customWidth="1"/>
    <col min="5" max="5" width="15.85546875" style="10" customWidth="1"/>
    <col min="6" max="6" width="15.28515625" style="10" customWidth="1"/>
    <col min="7" max="7" width="20.42578125" style="10" customWidth="1"/>
    <col min="8" max="8" width="13.7109375" style="10" customWidth="1"/>
    <col min="9" max="9" width="0.28515625" customWidth="1"/>
    <col min="10" max="11" width="0.42578125" customWidth="1"/>
    <col min="12" max="12" width="0.85546875" customWidth="1"/>
    <col min="13" max="13" width="7.85546875" hidden="1" customWidth="1"/>
    <col min="14" max="14" width="8.85546875" customWidth="1"/>
    <col min="15" max="15" width="7.28515625" customWidth="1"/>
    <col min="16" max="16" width="9.85546875" customWidth="1"/>
  </cols>
  <sheetData>
    <row r="1" spans="1:11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11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11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11" ht="15.75" hidden="1" x14ac:dyDescent="0.25">
      <c r="A4" s="12"/>
      <c r="B4" s="12"/>
      <c r="C4" s="12"/>
      <c r="D4" s="12"/>
      <c r="F4" s="44"/>
      <c r="G4" s="44"/>
      <c r="H4" s="44"/>
    </row>
    <row r="5" spans="1:11" ht="15.75" hidden="1" x14ac:dyDescent="0.25">
      <c r="A5" s="12"/>
      <c r="B5" s="12"/>
      <c r="C5" s="12"/>
      <c r="D5" s="12"/>
      <c r="F5" s="44"/>
      <c r="G5" s="44"/>
      <c r="H5" s="44"/>
    </row>
    <row r="6" spans="1:11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11" ht="15" hidden="1" x14ac:dyDescent="0.2">
      <c r="A7" s="12"/>
      <c r="B7" s="47"/>
      <c r="C7" s="47"/>
      <c r="D7" s="47"/>
      <c r="F7" s="45"/>
      <c r="G7" s="45"/>
      <c r="H7" s="45"/>
    </row>
    <row r="8" spans="1:11" ht="54.75" customHeight="1" thickBot="1" x14ac:dyDescent="0.25">
      <c r="A8" s="317" t="s">
        <v>373</v>
      </c>
      <c r="B8" s="324"/>
      <c r="C8" s="324"/>
      <c r="D8" s="324"/>
      <c r="E8" s="324"/>
      <c r="F8" s="324"/>
      <c r="G8" s="324"/>
      <c r="H8"/>
    </row>
    <row r="9" spans="1:11" ht="44.25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196</v>
      </c>
      <c r="I9" s="1"/>
      <c r="J9" s="1"/>
      <c r="K9" s="1"/>
    </row>
    <row r="10" spans="1:11" ht="30.75" customHeight="1" x14ac:dyDescent="0.2">
      <c r="A10" s="88" t="s">
        <v>102</v>
      </c>
      <c r="B10" s="165" t="s">
        <v>8</v>
      </c>
      <c r="C10" s="165" t="s">
        <v>270</v>
      </c>
      <c r="D10" s="165">
        <f>0.8+0.8</f>
        <v>1.6</v>
      </c>
      <c r="E10" s="165">
        <f>D10*K26</f>
        <v>1520</v>
      </c>
      <c r="F10" s="165">
        <f>C23+C24+C32+C33*39</f>
        <v>9639.66</v>
      </c>
      <c r="G10" s="82">
        <f>F10+E10</f>
        <v>11159.66</v>
      </c>
    </row>
    <row r="11" spans="1:11" ht="61.5" customHeight="1" x14ac:dyDescent="0.2">
      <c r="A11" s="81" t="s">
        <v>103</v>
      </c>
      <c r="B11" s="164" t="s">
        <v>11</v>
      </c>
      <c r="C11" s="164" t="s">
        <v>22</v>
      </c>
      <c r="D11" s="164">
        <f>0.7+0.6+0.8+0.2+1.1+0.7</f>
        <v>4.0999999999999996</v>
      </c>
      <c r="E11" s="164">
        <f>D11*K26</f>
        <v>3894.9999999999995</v>
      </c>
      <c r="F11" s="164">
        <f>C23+C24+C27+C30*6+C32+C33*39+C29</f>
        <v>22017.720000000005</v>
      </c>
      <c r="G11" s="83">
        <f t="shared" ref="G11:G20" si="0">E11+F11</f>
        <v>25912.720000000005</v>
      </c>
    </row>
    <row r="12" spans="1:11" ht="31.5" customHeight="1" x14ac:dyDescent="0.2">
      <c r="A12" s="81" t="s">
        <v>104</v>
      </c>
      <c r="B12" s="162" t="s">
        <v>8</v>
      </c>
      <c r="C12" s="162" t="s">
        <v>270</v>
      </c>
      <c r="D12" s="162">
        <f>0.8+0.8</f>
        <v>1.6</v>
      </c>
      <c r="E12" s="162">
        <f>D12*K26</f>
        <v>1520</v>
      </c>
      <c r="F12" s="162">
        <f>F10</f>
        <v>9639.66</v>
      </c>
      <c r="G12" s="83">
        <f t="shared" si="0"/>
        <v>11159.66</v>
      </c>
    </row>
    <row r="13" spans="1:11" ht="69" customHeight="1" x14ac:dyDescent="0.2">
      <c r="A13" s="81" t="s">
        <v>105</v>
      </c>
      <c r="B13" s="164" t="s">
        <v>199</v>
      </c>
      <c r="C13" s="181" t="s">
        <v>20</v>
      </c>
      <c r="D13" s="164">
        <f>0.7+0.6+0.8+0.2+0.3+0.4+0.5+0.7+0.4</f>
        <v>4.5999999999999996</v>
      </c>
      <c r="E13" s="164">
        <f>D13*K26</f>
        <v>4370</v>
      </c>
      <c r="F13" s="164">
        <f>C23+C24+C25+C27+C29+C32+C33*39+C36*11.5+C37*15+C31</f>
        <v>34595.699999999997</v>
      </c>
      <c r="G13" s="83">
        <f t="shared" si="0"/>
        <v>38965.699999999997</v>
      </c>
    </row>
    <row r="14" spans="1:11" ht="29.25" customHeight="1" x14ac:dyDescent="0.2">
      <c r="A14" s="81" t="s">
        <v>97</v>
      </c>
      <c r="B14" s="162" t="s">
        <v>8</v>
      </c>
      <c r="C14" s="162" t="s">
        <v>270</v>
      </c>
      <c r="D14" s="162">
        <f>0.8+0.8</f>
        <v>1.6</v>
      </c>
      <c r="E14" s="162">
        <f>D14*K26</f>
        <v>1520</v>
      </c>
      <c r="F14" s="162">
        <f>F10</f>
        <v>9639.66</v>
      </c>
      <c r="G14" s="83">
        <f t="shared" si="0"/>
        <v>11159.66</v>
      </c>
    </row>
    <row r="15" spans="1:11" ht="58.5" customHeight="1" x14ac:dyDescent="0.2">
      <c r="A15" s="81" t="s">
        <v>106</v>
      </c>
      <c r="B15" s="164" t="s">
        <v>12</v>
      </c>
      <c r="C15" s="164" t="s">
        <v>22</v>
      </c>
      <c r="D15" s="164">
        <f>0.7+0.6+0.8+0.2+1.1+0.7</f>
        <v>4.0999999999999996</v>
      </c>
      <c r="E15" s="164">
        <f>D15*K26</f>
        <v>3894.9999999999995</v>
      </c>
      <c r="F15" s="164">
        <f>F11</f>
        <v>22017.720000000005</v>
      </c>
      <c r="G15" s="83">
        <f t="shared" si="0"/>
        <v>25912.720000000005</v>
      </c>
    </row>
    <row r="16" spans="1:11" ht="32.25" customHeight="1" x14ac:dyDescent="0.2">
      <c r="A16" s="81" t="s">
        <v>107</v>
      </c>
      <c r="B16" s="162" t="s">
        <v>8</v>
      </c>
      <c r="C16" s="162" t="s">
        <v>270</v>
      </c>
      <c r="D16" s="162">
        <f>0.8+0.8</f>
        <v>1.6</v>
      </c>
      <c r="E16" s="162">
        <f>D16*K26</f>
        <v>1520</v>
      </c>
      <c r="F16" s="162">
        <f>F10</f>
        <v>9639.66</v>
      </c>
      <c r="G16" s="83">
        <f t="shared" si="0"/>
        <v>11159.66</v>
      </c>
    </row>
    <row r="17" spans="1:11" ht="74.25" customHeight="1" x14ac:dyDescent="0.2">
      <c r="A17" s="81" t="s">
        <v>108</v>
      </c>
      <c r="B17" s="164" t="s">
        <v>200</v>
      </c>
      <c r="C17" s="164" t="s">
        <v>20</v>
      </c>
      <c r="D17" s="164">
        <f>0.7+0.6+0.8+0.2+0.3+0.4+0.5+0.7+0.4</f>
        <v>4.5999999999999996</v>
      </c>
      <c r="E17" s="164">
        <f>D17*K26</f>
        <v>4370</v>
      </c>
      <c r="F17" s="164">
        <f>F13</f>
        <v>34595.699999999997</v>
      </c>
      <c r="G17" s="83">
        <f t="shared" si="0"/>
        <v>38965.699999999997</v>
      </c>
    </row>
    <row r="18" spans="1:11" ht="33.75" customHeight="1" x14ac:dyDescent="0.2">
      <c r="A18" s="81" t="s">
        <v>14</v>
      </c>
      <c r="B18" s="162" t="s">
        <v>15</v>
      </c>
      <c r="C18" s="162" t="s">
        <v>268</v>
      </c>
      <c r="D18" s="162">
        <f>0.6+0.6+0.2+0.3+0.1</f>
        <v>1.8</v>
      </c>
      <c r="E18" s="162">
        <f>D18*K26</f>
        <v>1710</v>
      </c>
      <c r="F18" s="162">
        <f>C26+C42*3</f>
        <v>1626.57</v>
      </c>
      <c r="G18" s="83">
        <f t="shared" si="0"/>
        <v>3336.5699999999997</v>
      </c>
    </row>
    <row r="19" spans="1:11" ht="39" customHeight="1" x14ac:dyDescent="0.2">
      <c r="A19" s="81" t="s">
        <v>16</v>
      </c>
      <c r="B19" s="164" t="s">
        <v>151</v>
      </c>
      <c r="C19" s="164" t="s">
        <v>17</v>
      </c>
      <c r="D19" s="164">
        <f>0.6+0.6+0.2+0.3+0.1</f>
        <v>1.8</v>
      </c>
      <c r="E19" s="164">
        <f>D19*K26</f>
        <v>1710</v>
      </c>
      <c r="F19" s="164">
        <f>C28+C26+C42*3</f>
        <v>4280.79</v>
      </c>
      <c r="G19" s="83">
        <f t="shared" si="0"/>
        <v>5990.79</v>
      </c>
    </row>
    <row r="20" spans="1:11" ht="73.5" customHeight="1" x14ac:dyDescent="0.2">
      <c r="A20" s="81" t="s">
        <v>249</v>
      </c>
      <c r="B20" s="162" t="s">
        <v>201</v>
      </c>
      <c r="C20" s="162" t="s">
        <v>18</v>
      </c>
      <c r="D20" s="162">
        <f>0.6+0.6+0.2+0.4+0.2</f>
        <v>1.9999999999999998</v>
      </c>
      <c r="E20" s="162">
        <f>D20*K26</f>
        <v>1899.9999999999998</v>
      </c>
      <c r="F20" s="162">
        <f>C41*22+C43*20+C26+C25+C40</f>
        <v>22555.199999999997</v>
      </c>
      <c r="G20" s="83">
        <f t="shared" si="0"/>
        <v>24455.199999999997</v>
      </c>
    </row>
    <row r="21" spans="1:11" ht="13.5" thickBot="1" x14ac:dyDescent="0.25">
      <c r="B21" s="334" t="s">
        <v>180</v>
      </c>
      <c r="C21" s="335"/>
    </row>
    <row r="22" spans="1:11" ht="18.75" thickBot="1" x14ac:dyDescent="0.25">
      <c r="B22" s="80" t="s">
        <v>49</v>
      </c>
      <c r="C22" s="147" t="s">
        <v>121</v>
      </c>
    </row>
    <row r="23" spans="1:11" ht="14.25" x14ac:dyDescent="0.2">
      <c r="B23" s="143" t="s">
        <v>155</v>
      </c>
      <c r="C23" s="125">
        <v>649.26</v>
      </c>
    </row>
    <row r="24" spans="1:11" ht="12.75" customHeight="1" x14ac:dyDescent="0.2">
      <c r="B24" s="120" t="s">
        <v>449</v>
      </c>
      <c r="C24" s="126">
        <v>630.12</v>
      </c>
    </row>
    <row r="25" spans="1:11" ht="15" thickBot="1" x14ac:dyDescent="0.25">
      <c r="B25" s="120" t="s">
        <v>473</v>
      </c>
      <c r="C25" s="152">
        <f>4468.26+1532.46</f>
        <v>6000.72</v>
      </c>
    </row>
    <row r="26" spans="1:11" ht="21" customHeight="1" thickBot="1" x14ac:dyDescent="0.25">
      <c r="B26" s="120" t="s">
        <v>416</v>
      </c>
      <c r="C26" s="152">
        <v>630.12</v>
      </c>
      <c r="J26" s="118" t="s">
        <v>166</v>
      </c>
      <c r="K26" s="91">
        <v>950</v>
      </c>
    </row>
    <row r="27" spans="1:11" ht="14.25" x14ac:dyDescent="0.2">
      <c r="B27" s="120" t="s">
        <v>458</v>
      </c>
      <c r="C27" s="126">
        <v>2352.48</v>
      </c>
      <c r="D27" s="12"/>
    </row>
    <row r="28" spans="1:11" ht="14.25" x14ac:dyDescent="0.2">
      <c r="B28" s="120" t="s">
        <v>459</v>
      </c>
      <c r="C28" s="126">
        <v>2654.22</v>
      </c>
      <c r="D28" s="12"/>
    </row>
    <row r="29" spans="1:11" ht="28.5" x14ac:dyDescent="0.2">
      <c r="B29" s="120" t="s">
        <v>471</v>
      </c>
      <c r="C29" s="149">
        <v>190.38</v>
      </c>
      <c r="D29" s="12"/>
    </row>
    <row r="30" spans="1:11" ht="14.25" x14ac:dyDescent="0.2">
      <c r="B30" s="120" t="s">
        <v>460</v>
      </c>
      <c r="C30" s="126">
        <v>1639.2</v>
      </c>
    </row>
    <row r="31" spans="1:11" ht="14.25" x14ac:dyDescent="0.2">
      <c r="B31" s="121" t="s">
        <v>472</v>
      </c>
      <c r="C31" s="148">
        <v>2059.08</v>
      </c>
    </row>
    <row r="32" spans="1:11" ht="14.25" x14ac:dyDescent="0.2">
      <c r="B32" s="120" t="s">
        <v>445</v>
      </c>
      <c r="C32" s="144">
        <v>43.92</v>
      </c>
    </row>
    <row r="33" spans="2:3" ht="14.25" x14ac:dyDescent="0.2">
      <c r="B33" s="120" t="s">
        <v>431</v>
      </c>
      <c r="C33" s="126">
        <v>213.24</v>
      </c>
    </row>
    <row r="34" spans="2:3" ht="14.25" x14ac:dyDescent="0.2">
      <c r="B34" s="120" t="s">
        <v>451</v>
      </c>
      <c r="C34" s="135">
        <v>188.16</v>
      </c>
    </row>
    <row r="35" spans="2:3" ht="14.25" x14ac:dyDescent="0.2">
      <c r="B35" s="120" t="s">
        <v>452</v>
      </c>
      <c r="C35" s="135">
        <v>260.60000000000002</v>
      </c>
    </row>
    <row r="36" spans="2:3" ht="14.25" x14ac:dyDescent="0.2">
      <c r="B36" s="120" t="s">
        <v>474</v>
      </c>
      <c r="C36" s="144">
        <v>924.12</v>
      </c>
    </row>
    <row r="37" spans="2:3" ht="14.25" x14ac:dyDescent="0.2">
      <c r="B37" s="120" t="s">
        <v>390</v>
      </c>
      <c r="C37" s="144">
        <v>248.4</v>
      </c>
    </row>
    <row r="38" spans="2:3" ht="14.25" x14ac:dyDescent="0.2">
      <c r="B38" s="120" t="s">
        <v>462</v>
      </c>
      <c r="C38" s="144">
        <v>996.4</v>
      </c>
    </row>
    <row r="39" spans="2:3" ht="14.25" x14ac:dyDescent="0.2">
      <c r="B39" s="120" t="s">
        <v>466</v>
      </c>
      <c r="C39" s="144">
        <v>1072.2</v>
      </c>
    </row>
    <row r="40" spans="2:3" ht="14.25" x14ac:dyDescent="0.2">
      <c r="B40" s="130" t="s">
        <v>435</v>
      </c>
      <c r="C40" s="126">
        <v>625.91999999999996</v>
      </c>
    </row>
    <row r="41" spans="2:3" ht="14.25" x14ac:dyDescent="0.2">
      <c r="B41" s="130" t="s">
        <v>436</v>
      </c>
      <c r="C41" s="126">
        <v>681.12</v>
      </c>
    </row>
    <row r="42" spans="2:3" ht="14.25" x14ac:dyDescent="0.2">
      <c r="B42" s="120" t="s">
        <v>391</v>
      </c>
      <c r="C42" s="144">
        <v>332.15</v>
      </c>
    </row>
    <row r="43" spans="2:3" ht="14.25" x14ac:dyDescent="0.2">
      <c r="B43" s="130" t="s">
        <v>438</v>
      </c>
      <c r="C43" s="126">
        <v>15.69</v>
      </c>
    </row>
  </sheetData>
  <sheetProtection algorithmName="SHA-512" hashValue="yFOyo2BbT2fDSdP9XzHJhO1EBjXyTS2WQFhJhO5nAlV6WqTmzwmrbL/3oUcI12cvjbXjD8viZPZdAalNr7NoXw==" saltValue="Qn9XjP/VqicBVlYePTK++Q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3">
      <selection activeCell="C45" sqref="C45:C46"/>
      <colBreaks count="1" manualBreakCount="1">
        <brk id="8" min="7" max="42" man="1"/>
      </colBreaks>
      <pageMargins left="0.7" right="0.7" top="0.75" bottom="0.75" header="0.3" footer="0.3"/>
      <pageSetup paperSize="9" scale="59" orientation="portrait" r:id="rId1"/>
    </customSheetView>
  </customSheetViews>
  <mergeCells count="2">
    <mergeCell ref="B21:C21"/>
    <mergeCell ref="A8:G8"/>
  </mergeCells>
  <pageMargins left="0.7" right="0.7" top="0.75" bottom="0.75" header="0.3" footer="0.3"/>
  <pageSetup paperSize="9" scale="59" orientation="portrait" r:id="rId2"/>
  <colBreaks count="1" manualBreakCount="1">
    <brk id="8" min="7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8" workbookViewId="0">
      <selection activeCell="C30" sqref="C30"/>
    </sheetView>
  </sheetViews>
  <sheetFormatPr defaultRowHeight="12.75" x14ac:dyDescent="0.2"/>
  <cols>
    <col min="1" max="1" width="16" style="12" customWidth="1"/>
    <col min="2" max="2" width="37.140625" style="12" customWidth="1"/>
    <col min="3" max="3" width="42.140625" style="12" customWidth="1"/>
    <col min="4" max="4" width="9.140625" style="12"/>
    <col min="5" max="5" width="14.7109375" style="12" customWidth="1"/>
    <col min="6" max="6" width="15" style="12" customWidth="1"/>
    <col min="7" max="7" width="14.5703125" style="12" customWidth="1"/>
    <col min="8" max="9" width="9.140625" hidden="1" customWidth="1"/>
    <col min="10" max="10" width="0.28515625" customWidth="1"/>
    <col min="11" max="11" width="0.42578125" customWidth="1"/>
    <col min="12" max="12" width="8.7109375" customWidth="1"/>
    <col min="13" max="13" width="11.5703125" customWidth="1"/>
    <col min="14" max="20" width="9.140625" customWidth="1"/>
    <col min="21" max="21" width="27.85546875" customWidth="1"/>
    <col min="257" max="257" width="6.85546875" customWidth="1"/>
    <col min="258" max="258" width="37.140625" customWidth="1"/>
    <col min="259" max="259" width="41.7109375" customWidth="1"/>
    <col min="261" max="261" width="13.28515625" customWidth="1"/>
    <col min="262" max="262" width="12.85546875" customWidth="1"/>
    <col min="513" max="513" width="6.85546875" customWidth="1"/>
    <col min="514" max="514" width="37.140625" customWidth="1"/>
    <col min="515" max="515" width="41.7109375" customWidth="1"/>
    <col min="517" max="517" width="13.28515625" customWidth="1"/>
    <col min="518" max="518" width="12.85546875" customWidth="1"/>
    <col min="769" max="769" width="6.85546875" customWidth="1"/>
    <col min="770" max="770" width="37.140625" customWidth="1"/>
    <col min="771" max="771" width="41.7109375" customWidth="1"/>
    <col min="773" max="773" width="13.28515625" customWidth="1"/>
    <col min="774" max="774" width="12.85546875" customWidth="1"/>
    <col min="1025" max="1025" width="6.85546875" customWidth="1"/>
    <col min="1026" max="1026" width="37.140625" customWidth="1"/>
    <col min="1027" max="1027" width="41.7109375" customWidth="1"/>
    <col min="1029" max="1029" width="13.28515625" customWidth="1"/>
    <col min="1030" max="1030" width="12.85546875" customWidth="1"/>
    <col min="1281" max="1281" width="6.85546875" customWidth="1"/>
    <col min="1282" max="1282" width="37.140625" customWidth="1"/>
    <col min="1283" max="1283" width="41.7109375" customWidth="1"/>
    <col min="1285" max="1285" width="13.28515625" customWidth="1"/>
    <col min="1286" max="1286" width="12.85546875" customWidth="1"/>
    <col min="1537" max="1537" width="6.85546875" customWidth="1"/>
    <col min="1538" max="1538" width="37.140625" customWidth="1"/>
    <col min="1539" max="1539" width="41.7109375" customWidth="1"/>
    <col min="1541" max="1541" width="13.28515625" customWidth="1"/>
    <col min="1542" max="1542" width="12.85546875" customWidth="1"/>
    <col min="1793" max="1793" width="6.85546875" customWidth="1"/>
    <col min="1794" max="1794" width="37.140625" customWidth="1"/>
    <col min="1795" max="1795" width="41.7109375" customWidth="1"/>
    <col min="1797" max="1797" width="13.28515625" customWidth="1"/>
    <col min="1798" max="1798" width="12.85546875" customWidth="1"/>
    <col min="2049" max="2049" width="6.85546875" customWidth="1"/>
    <col min="2050" max="2050" width="37.140625" customWidth="1"/>
    <col min="2051" max="2051" width="41.7109375" customWidth="1"/>
    <col min="2053" max="2053" width="13.28515625" customWidth="1"/>
    <col min="2054" max="2054" width="12.85546875" customWidth="1"/>
    <col min="2305" max="2305" width="6.85546875" customWidth="1"/>
    <col min="2306" max="2306" width="37.140625" customWidth="1"/>
    <col min="2307" max="2307" width="41.7109375" customWidth="1"/>
    <col min="2309" max="2309" width="13.28515625" customWidth="1"/>
    <col min="2310" max="2310" width="12.85546875" customWidth="1"/>
    <col min="2561" max="2561" width="6.85546875" customWidth="1"/>
    <col min="2562" max="2562" width="37.140625" customWidth="1"/>
    <col min="2563" max="2563" width="41.7109375" customWidth="1"/>
    <col min="2565" max="2565" width="13.28515625" customWidth="1"/>
    <col min="2566" max="2566" width="12.85546875" customWidth="1"/>
    <col min="2817" max="2817" width="6.85546875" customWidth="1"/>
    <col min="2818" max="2818" width="37.140625" customWidth="1"/>
    <col min="2819" max="2819" width="41.7109375" customWidth="1"/>
    <col min="2821" max="2821" width="13.28515625" customWidth="1"/>
    <col min="2822" max="2822" width="12.85546875" customWidth="1"/>
    <col min="3073" max="3073" width="6.85546875" customWidth="1"/>
    <col min="3074" max="3074" width="37.140625" customWidth="1"/>
    <col min="3075" max="3075" width="41.7109375" customWidth="1"/>
    <col min="3077" max="3077" width="13.28515625" customWidth="1"/>
    <col min="3078" max="3078" width="12.85546875" customWidth="1"/>
    <col min="3329" max="3329" width="6.85546875" customWidth="1"/>
    <col min="3330" max="3330" width="37.140625" customWidth="1"/>
    <col min="3331" max="3331" width="41.7109375" customWidth="1"/>
    <col min="3333" max="3333" width="13.28515625" customWidth="1"/>
    <col min="3334" max="3334" width="12.85546875" customWidth="1"/>
    <col min="3585" max="3585" width="6.85546875" customWidth="1"/>
    <col min="3586" max="3586" width="37.140625" customWidth="1"/>
    <col min="3587" max="3587" width="41.7109375" customWidth="1"/>
    <col min="3589" max="3589" width="13.28515625" customWidth="1"/>
    <col min="3590" max="3590" width="12.85546875" customWidth="1"/>
    <col min="3841" max="3841" width="6.85546875" customWidth="1"/>
    <col min="3842" max="3842" width="37.140625" customWidth="1"/>
    <col min="3843" max="3843" width="41.7109375" customWidth="1"/>
    <col min="3845" max="3845" width="13.28515625" customWidth="1"/>
    <col min="3846" max="3846" width="12.85546875" customWidth="1"/>
    <col min="4097" max="4097" width="6.85546875" customWidth="1"/>
    <col min="4098" max="4098" width="37.140625" customWidth="1"/>
    <col min="4099" max="4099" width="41.7109375" customWidth="1"/>
    <col min="4101" max="4101" width="13.28515625" customWidth="1"/>
    <col min="4102" max="4102" width="12.85546875" customWidth="1"/>
    <col min="4353" max="4353" width="6.85546875" customWidth="1"/>
    <col min="4354" max="4354" width="37.140625" customWidth="1"/>
    <col min="4355" max="4355" width="41.7109375" customWidth="1"/>
    <col min="4357" max="4357" width="13.28515625" customWidth="1"/>
    <col min="4358" max="4358" width="12.85546875" customWidth="1"/>
    <col min="4609" max="4609" width="6.85546875" customWidth="1"/>
    <col min="4610" max="4610" width="37.140625" customWidth="1"/>
    <col min="4611" max="4611" width="41.7109375" customWidth="1"/>
    <col min="4613" max="4613" width="13.28515625" customWidth="1"/>
    <col min="4614" max="4614" width="12.85546875" customWidth="1"/>
    <col min="4865" max="4865" width="6.85546875" customWidth="1"/>
    <col min="4866" max="4866" width="37.140625" customWidth="1"/>
    <col min="4867" max="4867" width="41.7109375" customWidth="1"/>
    <col min="4869" max="4869" width="13.28515625" customWidth="1"/>
    <col min="4870" max="4870" width="12.85546875" customWidth="1"/>
    <col min="5121" max="5121" width="6.85546875" customWidth="1"/>
    <col min="5122" max="5122" width="37.140625" customWidth="1"/>
    <col min="5123" max="5123" width="41.7109375" customWidth="1"/>
    <col min="5125" max="5125" width="13.28515625" customWidth="1"/>
    <col min="5126" max="5126" width="12.85546875" customWidth="1"/>
    <col min="5377" max="5377" width="6.85546875" customWidth="1"/>
    <col min="5378" max="5378" width="37.140625" customWidth="1"/>
    <col min="5379" max="5379" width="41.7109375" customWidth="1"/>
    <col min="5381" max="5381" width="13.28515625" customWidth="1"/>
    <col min="5382" max="5382" width="12.85546875" customWidth="1"/>
    <col min="5633" max="5633" width="6.85546875" customWidth="1"/>
    <col min="5634" max="5634" width="37.140625" customWidth="1"/>
    <col min="5635" max="5635" width="41.7109375" customWidth="1"/>
    <col min="5637" max="5637" width="13.28515625" customWidth="1"/>
    <col min="5638" max="5638" width="12.85546875" customWidth="1"/>
    <col min="5889" max="5889" width="6.85546875" customWidth="1"/>
    <col min="5890" max="5890" width="37.140625" customWidth="1"/>
    <col min="5891" max="5891" width="41.7109375" customWidth="1"/>
    <col min="5893" max="5893" width="13.28515625" customWidth="1"/>
    <col min="5894" max="5894" width="12.85546875" customWidth="1"/>
    <col min="6145" max="6145" width="6.85546875" customWidth="1"/>
    <col min="6146" max="6146" width="37.140625" customWidth="1"/>
    <col min="6147" max="6147" width="41.7109375" customWidth="1"/>
    <col min="6149" max="6149" width="13.28515625" customWidth="1"/>
    <col min="6150" max="6150" width="12.85546875" customWidth="1"/>
    <col min="6401" max="6401" width="6.85546875" customWidth="1"/>
    <col min="6402" max="6402" width="37.140625" customWidth="1"/>
    <col min="6403" max="6403" width="41.7109375" customWidth="1"/>
    <col min="6405" max="6405" width="13.28515625" customWidth="1"/>
    <col min="6406" max="6406" width="12.85546875" customWidth="1"/>
    <col min="6657" max="6657" width="6.85546875" customWidth="1"/>
    <col min="6658" max="6658" width="37.140625" customWidth="1"/>
    <col min="6659" max="6659" width="41.7109375" customWidth="1"/>
    <col min="6661" max="6661" width="13.28515625" customWidth="1"/>
    <col min="6662" max="6662" width="12.85546875" customWidth="1"/>
    <col min="6913" max="6913" width="6.85546875" customWidth="1"/>
    <col min="6914" max="6914" width="37.140625" customWidth="1"/>
    <col min="6915" max="6915" width="41.7109375" customWidth="1"/>
    <col min="6917" max="6917" width="13.28515625" customWidth="1"/>
    <col min="6918" max="6918" width="12.85546875" customWidth="1"/>
    <col min="7169" max="7169" width="6.85546875" customWidth="1"/>
    <col min="7170" max="7170" width="37.140625" customWidth="1"/>
    <col min="7171" max="7171" width="41.7109375" customWidth="1"/>
    <col min="7173" max="7173" width="13.28515625" customWidth="1"/>
    <col min="7174" max="7174" width="12.85546875" customWidth="1"/>
    <col min="7425" max="7425" width="6.85546875" customWidth="1"/>
    <col min="7426" max="7426" width="37.140625" customWidth="1"/>
    <col min="7427" max="7427" width="41.7109375" customWidth="1"/>
    <col min="7429" max="7429" width="13.28515625" customWidth="1"/>
    <col min="7430" max="7430" width="12.85546875" customWidth="1"/>
    <col min="7681" max="7681" width="6.85546875" customWidth="1"/>
    <col min="7682" max="7682" width="37.140625" customWidth="1"/>
    <col min="7683" max="7683" width="41.7109375" customWidth="1"/>
    <col min="7685" max="7685" width="13.28515625" customWidth="1"/>
    <col min="7686" max="7686" width="12.85546875" customWidth="1"/>
    <col min="7937" max="7937" width="6.85546875" customWidth="1"/>
    <col min="7938" max="7938" width="37.140625" customWidth="1"/>
    <col min="7939" max="7939" width="41.7109375" customWidth="1"/>
    <col min="7941" max="7941" width="13.28515625" customWidth="1"/>
    <col min="7942" max="7942" width="12.85546875" customWidth="1"/>
    <col min="8193" max="8193" width="6.85546875" customWidth="1"/>
    <col min="8194" max="8194" width="37.140625" customWidth="1"/>
    <col min="8195" max="8195" width="41.7109375" customWidth="1"/>
    <col min="8197" max="8197" width="13.28515625" customWidth="1"/>
    <col min="8198" max="8198" width="12.85546875" customWidth="1"/>
    <col min="8449" max="8449" width="6.85546875" customWidth="1"/>
    <col min="8450" max="8450" width="37.140625" customWidth="1"/>
    <col min="8451" max="8451" width="41.7109375" customWidth="1"/>
    <col min="8453" max="8453" width="13.28515625" customWidth="1"/>
    <col min="8454" max="8454" width="12.85546875" customWidth="1"/>
    <col min="8705" max="8705" width="6.85546875" customWidth="1"/>
    <col min="8706" max="8706" width="37.140625" customWidth="1"/>
    <col min="8707" max="8707" width="41.7109375" customWidth="1"/>
    <col min="8709" max="8709" width="13.28515625" customWidth="1"/>
    <col min="8710" max="8710" width="12.85546875" customWidth="1"/>
    <col min="8961" max="8961" width="6.85546875" customWidth="1"/>
    <col min="8962" max="8962" width="37.140625" customWidth="1"/>
    <col min="8963" max="8963" width="41.7109375" customWidth="1"/>
    <col min="8965" max="8965" width="13.28515625" customWidth="1"/>
    <col min="8966" max="8966" width="12.85546875" customWidth="1"/>
    <col min="9217" max="9217" width="6.85546875" customWidth="1"/>
    <col min="9218" max="9218" width="37.140625" customWidth="1"/>
    <col min="9219" max="9219" width="41.7109375" customWidth="1"/>
    <col min="9221" max="9221" width="13.28515625" customWidth="1"/>
    <col min="9222" max="9222" width="12.85546875" customWidth="1"/>
    <col min="9473" max="9473" width="6.85546875" customWidth="1"/>
    <col min="9474" max="9474" width="37.140625" customWidth="1"/>
    <col min="9475" max="9475" width="41.7109375" customWidth="1"/>
    <col min="9477" max="9477" width="13.28515625" customWidth="1"/>
    <col min="9478" max="9478" width="12.85546875" customWidth="1"/>
    <col min="9729" max="9729" width="6.85546875" customWidth="1"/>
    <col min="9730" max="9730" width="37.140625" customWidth="1"/>
    <col min="9731" max="9731" width="41.7109375" customWidth="1"/>
    <col min="9733" max="9733" width="13.28515625" customWidth="1"/>
    <col min="9734" max="9734" width="12.85546875" customWidth="1"/>
    <col min="9985" max="9985" width="6.85546875" customWidth="1"/>
    <col min="9986" max="9986" width="37.140625" customWidth="1"/>
    <col min="9987" max="9987" width="41.7109375" customWidth="1"/>
    <col min="9989" max="9989" width="13.28515625" customWidth="1"/>
    <col min="9990" max="9990" width="12.85546875" customWidth="1"/>
    <col min="10241" max="10241" width="6.85546875" customWidth="1"/>
    <col min="10242" max="10242" width="37.140625" customWidth="1"/>
    <col min="10243" max="10243" width="41.7109375" customWidth="1"/>
    <col min="10245" max="10245" width="13.28515625" customWidth="1"/>
    <col min="10246" max="10246" width="12.85546875" customWidth="1"/>
    <col min="10497" max="10497" width="6.85546875" customWidth="1"/>
    <col min="10498" max="10498" width="37.140625" customWidth="1"/>
    <col min="10499" max="10499" width="41.7109375" customWidth="1"/>
    <col min="10501" max="10501" width="13.28515625" customWidth="1"/>
    <col min="10502" max="10502" width="12.85546875" customWidth="1"/>
    <col min="10753" max="10753" width="6.85546875" customWidth="1"/>
    <col min="10754" max="10754" width="37.140625" customWidth="1"/>
    <col min="10755" max="10755" width="41.7109375" customWidth="1"/>
    <col min="10757" max="10757" width="13.28515625" customWidth="1"/>
    <col min="10758" max="10758" width="12.85546875" customWidth="1"/>
    <col min="11009" max="11009" width="6.85546875" customWidth="1"/>
    <col min="11010" max="11010" width="37.140625" customWidth="1"/>
    <col min="11011" max="11011" width="41.7109375" customWidth="1"/>
    <col min="11013" max="11013" width="13.28515625" customWidth="1"/>
    <col min="11014" max="11014" width="12.85546875" customWidth="1"/>
    <col min="11265" max="11265" width="6.85546875" customWidth="1"/>
    <col min="11266" max="11266" width="37.140625" customWidth="1"/>
    <col min="11267" max="11267" width="41.7109375" customWidth="1"/>
    <col min="11269" max="11269" width="13.28515625" customWidth="1"/>
    <col min="11270" max="11270" width="12.85546875" customWidth="1"/>
    <col min="11521" max="11521" width="6.85546875" customWidth="1"/>
    <col min="11522" max="11522" width="37.140625" customWidth="1"/>
    <col min="11523" max="11523" width="41.7109375" customWidth="1"/>
    <col min="11525" max="11525" width="13.28515625" customWidth="1"/>
    <col min="11526" max="11526" width="12.85546875" customWidth="1"/>
    <col min="11777" max="11777" width="6.85546875" customWidth="1"/>
    <col min="11778" max="11778" width="37.140625" customWidth="1"/>
    <col min="11779" max="11779" width="41.7109375" customWidth="1"/>
    <col min="11781" max="11781" width="13.28515625" customWidth="1"/>
    <col min="11782" max="11782" width="12.85546875" customWidth="1"/>
    <col min="12033" max="12033" width="6.85546875" customWidth="1"/>
    <col min="12034" max="12034" width="37.140625" customWidth="1"/>
    <col min="12035" max="12035" width="41.7109375" customWidth="1"/>
    <col min="12037" max="12037" width="13.28515625" customWidth="1"/>
    <col min="12038" max="12038" width="12.85546875" customWidth="1"/>
    <col min="12289" max="12289" width="6.85546875" customWidth="1"/>
    <col min="12290" max="12290" width="37.140625" customWidth="1"/>
    <col min="12291" max="12291" width="41.7109375" customWidth="1"/>
    <col min="12293" max="12293" width="13.28515625" customWidth="1"/>
    <col min="12294" max="12294" width="12.85546875" customWidth="1"/>
    <col min="12545" max="12545" width="6.85546875" customWidth="1"/>
    <col min="12546" max="12546" width="37.140625" customWidth="1"/>
    <col min="12547" max="12547" width="41.7109375" customWidth="1"/>
    <col min="12549" max="12549" width="13.28515625" customWidth="1"/>
    <col min="12550" max="12550" width="12.85546875" customWidth="1"/>
    <col min="12801" max="12801" width="6.85546875" customWidth="1"/>
    <col min="12802" max="12802" width="37.140625" customWidth="1"/>
    <col min="12803" max="12803" width="41.7109375" customWidth="1"/>
    <col min="12805" max="12805" width="13.28515625" customWidth="1"/>
    <col min="12806" max="12806" width="12.85546875" customWidth="1"/>
    <col min="13057" max="13057" width="6.85546875" customWidth="1"/>
    <col min="13058" max="13058" width="37.140625" customWidth="1"/>
    <col min="13059" max="13059" width="41.7109375" customWidth="1"/>
    <col min="13061" max="13061" width="13.28515625" customWidth="1"/>
    <col min="13062" max="13062" width="12.85546875" customWidth="1"/>
    <col min="13313" max="13313" width="6.85546875" customWidth="1"/>
    <col min="13314" max="13314" width="37.140625" customWidth="1"/>
    <col min="13315" max="13315" width="41.7109375" customWidth="1"/>
    <col min="13317" max="13317" width="13.28515625" customWidth="1"/>
    <col min="13318" max="13318" width="12.85546875" customWidth="1"/>
    <col min="13569" max="13569" width="6.85546875" customWidth="1"/>
    <col min="13570" max="13570" width="37.140625" customWidth="1"/>
    <col min="13571" max="13571" width="41.7109375" customWidth="1"/>
    <col min="13573" max="13573" width="13.28515625" customWidth="1"/>
    <col min="13574" max="13574" width="12.85546875" customWidth="1"/>
    <col min="13825" max="13825" width="6.85546875" customWidth="1"/>
    <col min="13826" max="13826" width="37.140625" customWidth="1"/>
    <col min="13827" max="13827" width="41.7109375" customWidth="1"/>
    <col min="13829" max="13829" width="13.28515625" customWidth="1"/>
    <col min="13830" max="13830" width="12.85546875" customWidth="1"/>
    <col min="14081" max="14081" width="6.85546875" customWidth="1"/>
    <col min="14082" max="14082" width="37.140625" customWidth="1"/>
    <col min="14083" max="14083" width="41.7109375" customWidth="1"/>
    <col min="14085" max="14085" width="13.28515625" customWidth="1"/>
    <col min="14086" max="14086" width="12.85546875" customWidth="1"/>
    <col min="14337" max="14337" width="6.85546875" customWidth="1"/>
    <col min="14338" max="14338" width="37.140625" customWidth="1"/>
    <col min="14339" max="14339" width="41.7109375" customWidth="1"/>
    <col min="14341" max="14341" width="13.28515625" customWidth="1"/>
    <col min="14342" max="14342" width="12.85546875" customWidth="1"/>
    <col min="14593" max="14593" width="6.85546875" customWidth="1"/>
    <col min="14594" max="14594" width="37.140625" customWidth="1"/>
    <col min="14595" max="14595" width="41.7109375" customWidth="1"/>
    <col min="14597" max="14597" width="13.28515625" customWidth="1"/>
    <col min="14598" max="14598" width="12.85546875" customWidth="1"/>
    <col min="14849" max="14849" width="6.85546875" customWidth="1"/>
    <col min="14850" max="14850" width="37.140625" customWidth="1"/>
    <col min="14851" max="14851" width="41.7109375" customWidth="1"/>
    <col min="14853" max="14853" width="13.28515625" customWidth="1"/>
    <col min="14854" max="14854" width="12.85546875" customWidth="1"/>
    <col min="15105" max="15105" width="6.85546875" customWidth="1"/>
    <col min="15106" max="15106" width="37.140625" customWidth="1"/>
    <col min="15107" max="15107" width="41.7109375" customWidth="1"/>
    <col min="15109" max="15109" width="13.28515625" customWidth="1"/>
    <col min="15110" max="15110" width="12.85546875" customWidth="1"/>
    <col min="15361" max="15361" width="6.85546875" customWidth="1"/>
    <col min="15362" max="15362" width="37.140625" customWidth="1"/>
    <col min="15363" max="15363" width="41.7109375" customWidth="1"/>
    <col min="15365" max="15365" width="13.28515625" customWidth="1"/>
    <col min="15366" max="15366" width="12.85546875" customWidth="1"/>
    <col min="15617" max="15617" width="6.85546875" customWidth="1"/>
    <col min="15618" max="15618" width="37.140625" customWidth="1"/>
    <col min="15619" max="15619" width="41.7109375" customWidth="1"/>
    <col min="15621" max="15621" width="13.28515625" customWidth="1"/>
    <col min="15622" max="15622" width="12.85546875" customWidth="1"/>
    <col min="15873" max="15873" width="6.85546875" customWidth="1"/>
    <col min="15874" max="15874" width="37.140625" customWidth="1"/>
    <col min="15875" max="15875" width="41.7109375" customWidth="1"/>
    <col min="15877" max="15877" width="13.28515625" customWidth="1"/>
    <col min="15878" max="15878" width="12.85546875" customWidth="1"/>
    <col min="16129" max="16129" width="6.85546875" customWidth="1"/>
    <col min="16130" max="16130" width="37.140625" customWidth="1"/>
    <col min="16131" max="16131" width="41.7109375" customWidth="1"/>
    <col min="16133" max="16133" width="13.28515625" customWidth="1"/>
    <col min="16134" max="16134" width="12.85546875" customWidth="1"/>
  </cols>
  <sheetData>
    <row r="1" spans="1:14" ht="15.75" hidden="1" x14ac:dyDescent="0.25">
      <c r="E1" s="44" t="s">
        <v>118</v>
      </c>
      <c r="F1" s="44"/>
      <c r="G1" s="44"/>
      <c r="H1" s="44"/>
    </row>
    <row r="2" spans="1:14" ht="15.75" hidden="1" x14ac:dyDescent="0.25">
      <c r="E2" s="44" t="s">
        <v>119</v>
      </c>
      <c r="F2" s="44"/>
      <c r="G2" s="44"/>
      <c r="H2" s="44"/>
    </row>
    <row r="3" spans="1:14" ht="15.75" hidden="1" x14ac:dyDescent="0.25">
      <c r="E3" s="44" t="s">
        <v>120</v>
      </c>
      <c r="F3" s="44"/>
      <c r="G3" s="44"/>
      <c r="H3" s="44"/>
    </row>
    <row r="4" spans="1:14" ht="15.75" hidden="1" x14ac:dyDescent="0.25">
      <c r="E4" s="44"/>
      <c r="F4" s="44"/>
      <c r="G4" s="44"/>
      <c r="H4" s="44"/>
    </row>
    <row r="5" spans="1:14" ht="15.75" hidden="1" x14ac:dyDescent="0.25">
      <c r="E5" s="44"/>
      <c r="F5" s="44"/>
      <c r="G5" s="44"/>
      <c r="H5" s="44"/>
    </row>
    <row r="6" spans="1:14" ht="15.75" hidden="1" x14ac:dyDescent="0.25">
      <c r="E6" s="44" t="s">
        <v>179</v>
      </c>
      <c r="F6" s="44"/>
      <c r="G6" s="44"/>
      <c r="H6" s="44"/>
    </row>
    <row r="7" spans="1:14" ht="15" hidden="1" x14ac:dyDescent="0.2">
      <c r="B7" s="47"/>
      <c r="C7" s="47"/>
      <c r="D7" s="47"/>
      <c r="E7" s="45"/>
      <c r="F7" s="45"/>
      <c r="G7" s="45"/>
      <c r="H7" s="45"/>
    </row>
    <row r="8" spans="1:14" ht="44.25" customHeight="1" thickBot="1" x14ac:dyDescent="0.25">
      <c r="A8" s="293" t="s">
        <v>343</v>
      </c>
      <c r="B8" s="294"/>
      <c r="C8" s="294"/>
      <c r="D8" s="294"/>
      <c r="E8" s="294"/>
      <c r="F8" s="294"/>
      <c r="G8" s="294"/>
    </row>
    <row r="9" spans="1:14" ht="35.25" customHeight="1" thickBot="1" x14ac:dyDescent="0.25">
      <c r="A9" s="21" t="s">
        <v>0</v>
      </c>
      <c r="B9" s="22" t="s">
        <v>1</v>
      </c>
      <c r="C9" s="22" t="s">
        <v>4</v>
      </c>
      <c r="D9" s="22" t="s">
        <v>2</v>
      </c>
      <c r="E9" s="22" t="s">
        <v>3</v>
      </c>
      <c r="F9" s="22" t="s">
        <v>6</v>
      </c>
      <c r="G9" s="23" t="s">
        <v>5</v>
      </c>
      <c r="H9" s="1"/>
      <c r="I9" s="1"/>
      <c r="J9" s="1"/>
      <c r="K9" s="1"/>
    </row>
    <row r="10" spans="1:14" ht="33.75" customHeight="1" x14ac:dyDescent="0.2">
      <c r="A10" s="186">
        <v>20000</v>
      </c>
      <c r="B10" s="31" t="s">
        <v>145</v>
      </c>
      <c r="C10" s="31" t="s">
        <v>329</v>
      </c>
      <c r="D10" s="31">
        <v>0.9</v>
      </c>
      <c r="E10" s="31">
        <f>D10*$J$40</f>
        <v>765</v>
      </c>
      <c r="F10" s="31">
        <f>C30+C34*4.5+C36+C43+C44</f>
        <v>1798.2599999999998</v>
      </c>
      <c r="G10" s="34">
        <f t="shared" ref="G10:G16" si="0">E10+F10</f>
        <v>2563.2599999999998</v>
      </c>
      <c r="H10" s="1"/>
      <c r="I10" s="1"/>
      <c r="J10" s="1"/>
      <c r="K10" s="1"/>
    </row>
    <row r="11" spans="1:14" ht="25.5" x14ac:dyDescent="0.2">
      <c r="A11" s="286">
        <v>40000</v>
      </c>
      <c r="B11" s="288" t="s">
        <v>53</v>
      </c>
      <c r="C11" s="221" t="s">
        <v>332</v>
      </c>
      <c r="D11" s="221">
        <v>1.3</v>
      </c>
      <c r="E11" s="221">
        <f t="shared" ref="E11:E16" si="1">D11*$J$40</f>
        <v>1105</v>
      </c>
      <c r="F11" s="221">
        <f>C30+C31+C32+C34*4.5+C36+C43+C44</f>
        <v>4901.58</v>
      </c>
      <c r="G11" s="35">
        <f t="shared" si="0"/>
        <v>6006.58</v>
      </c>
      <c r="H11" s="1"/>
      <c r="I11" s="1"/>
      <c r="J11" s="1"/>
      <c r="K11" s="1"/>
    </row>
    <row r="12" spans="1:14" ht="25.5" hidden="1" customHeight="1" x14ac:dyDescent="0.2">
      <c r="A12" s="287"/>
      <c r="B12" s="289"/>
      <c r="C12" s="221"/>
      <c r="D12" s="221"/>
      <c r="E12" s="221">
        <f t="shared" si="1"/>
        <v>0</v>
      </c>
      <c r="F12" s="221"/>
      <c r="G12" s="35">
        <f t="shared" si="0"/>
        <v>0</v>
      </c>
      <c r="H12" s="1"/>
      <c r="I12" s="1"/>
      <c r="J12" s="1"/>
      <c r="K12" s="1"/>
    </row>
    <row r="13" spans="1:14" ht="25.5" x14ac:dyDescent="0.2">
      <c r="A13" s="218">
        <v>60000</v>
      </c>
      <c r="B13" s="225" t="s">
        <v>145</v>
      </c>
      <c r="C13" s="225" t="s">
        <v>329</v>
      </c>
      <c r="D13" s="225">
        <v>0.9</v>
      </c>
      <c r="E13" s="225">
        <f t="shared" si="1"/>
        <v>765</v>
      </c>
      <c r="F13" s="225">
        <f>F10</f>
        <v>1798.2599999999998</v>
      </c>
      <c r="G13" s="35">
        <f t="shared" si="0"/>
        <v>2563.2599999999998</v>
      </c>
      <c r="H13" s="1"/>
      <c r="I13" s="1"/>
      <c r="J13" s="1"/>
      <c r="K13" s="1"/>
    </row>
    <row r="14" spans="1:14" ht="38.25" customHeight="1" x14ac:dyDescent="0.2">
      <c r="A14" s="218">
        <v>80000</v>
      </c>
      <c r="B14" s="220" t="s">
        <v>53</v>
      </c>
      <c r="C14" s="221" t="s">
        <v>333</v>
      </c>
      <c r="D14" s="221">
        <v>1.3</v>
      </c>
      <c r="E14" s="221">
        <f t="shared" si="1"/>
        <v>1105</v>
      </c>
      <c r="F14" s="221">
        <f>F11</f>
        <v>4901.58</v>
      </c>
      <c r="G14" s="35">
        <f t="shared" si="0"/>
        <v>6006.58</v>
      </c>
      <c r="H14" s="1"/>
      <c r="I14" s="1"/>
      <c r="J14" s="1"/>
      <c r="K14" s="1"/>
      <c r="N14" s="3"/>
    </row>
    <row r="15" spans="1:14" ht="27" customHeight="1" x14ac:dyDescent="0.2">
      <c r="A15" s="218">
        <v>100000</v>
      </c>
      <c r="B15" s="225" t="s">
        <v>145</v>
      </c>
      <c r="C15" s="225" t="s">
        <v>329</v>
      </c>
      <c r="D15" s="225">
        <v>0.9</v>
      </c>
      <c r="E15" s="225">
        <f t="shared" si="1"/>
        <v>765</v>
      </c>
      <c r="F15" s="225">
        <f>F10</f>
        <v>1798.2599999999998</v>
      </c>
      <c r="G15" s="35">
        <f t="shared" si="0"/>
        <v>2563.2599999999998</v>
      </c>
      <c r="H15" s="1"/>
      <c r="I15" s="1"/>
      <c r="J15" s="1"/>
      <c r="K15" s="1"/>
    </row>
    <row r="16" spans="1:14" ht="25.5" x14ac:dyDescent="0.2">
      <c r="A16" s="218">
        <v>120000</v>
      </c>
      <c r="B16" s="220" t="s">
        <v>53</v>
      </c>
      <c r="C16" s="221" t="s">
        <v>333</v>
      </c>
      <c r="D16" s="221">
        <v>1.3</v>
      </c>
      <c r="E16" s="221">
        <f t="shared" si="1"/>
        <v>1105</v>
      </c>
      <c r="F16" s="220">
        <f>F11</f>
        <v>4901.58</v>
      </c>
      <c r="G16" s="35">
        <f t="shared" si="0"/>
        <v>6006.58</v>
      </c>
      <c r="H16" s="1"/>
      <c r="I16" s="1"/>
      <c r="J16" s="1"/>
      <c r="K16" s="1"/>
    </row>
    <row r="17" spans="1:11" ht="15.75" x14ac:dyDescent="0.2">
      <c r="A17" s="219" t="s">
        <v>55</v>
      </c>
      <c r="B17" s="225" t="s">
        <v>56</v>
      </c>
      <c r="C17" s="225" t="s">
        <v>57</v>
      </c>
      <c r="D17" s="225" t="s">
        <v>58</v>
      </c>
      <c r="E17" s="225" t="s">
        <v>59</v>
      </c>
      <c r="F17" s="225" t="s">
        <v>55</v>
      </c>
      <c r="G17" s="35" t="s">
        <v>60</v>
      </c>
      <c r="H17" s="1"/>
      <c r="I17" s="1"/>
      <c r="J17" s="1"/>
      <c r="K17" s="1"/>
    </row>
    <row r="18" spans="1:11" ht="15.75" x14ac:dyDescent="0.2">
      <c r="A18" s="286" t="s">
        <v>334</v>
      </c>
      <c r="B18" s="295" t="s">
        <v>335</v>
      </c>
      <c r="C18" s="12" t="s">
        <v>336</v>
      </c>
      <c r="D18" s="221">
        <v>0.5</v>
      </c>
      <c r="E18" s="221">
        <f t="shared" ref="E18:E22" si="2">D18*$J$40</f>
        <v>425</v>
      </c>
      <c r="F18" s="221">
        <f>C33</f>
        <v>1359.54</v>
      </c>
      <c r="G18" s="35">
        <f t="shared" ref="G18:G27" si="3">E18+F18</f>
        <v>1784.54</v>
      </c>
      <c r="H18" s="1"/>
      <c r="I18" s="1"/>
      <c r="J18" s="1"/>
      <c r="K18" s="1"/>
    </row>
    <row r="19" spans="1:11" ht="18.75" hidden="1" customHeight="1" x14ac:dyDescent="0.2">
      <c r="A19" s="287"/>
      <c r="B19" s="289"/>
      <c r="C19" s="152"/>
      <c r="D19" s="152"/>
      <c r="E19" s="152">
        <f t="shared" si="2"/>
        <v>0</v>
      </c>
      <c r="F19" s="152"/>
      <c r="G19" s="114">
        <f t="shared" si="3"/>
        <v>0</v>
      </c>
      <c r="H19" s="1"/>
      <c r="I19" s="1"/>
      <c r="J19" s="1"/>
      <c r="K19" s="1"/>
    </row>
    <row r="20" spans="1:11" ht="15.75" x14ac:dyDescent="0.2">
      <c r="A20" s="188" t="s">
        <v>341</v>
      </c>
      <c r="B20" s="15" t="s">
        <v>328</v>
      </c>
      <c r="C20" s="227" t="s">
        <v>338</v>
      </c>
      <c r="D20" s="226">
        <v>2.6</v>
      </c>
      <c r="E20" s="227">
        <f t="shared" si="2"/>
        <v>2210</v>
      </c>
      <c r="F20" s="227">
        <f>C40+C41+C42</f>
        <v>14423.34</v>
      </c>
      <c r="G20" s="35">
        <f t="shared" si="3"/>
        <v>16633.34</v>
      </c>
      <c r="H20" s="1"/>
      <c r="I20" s="1"/>
      <c r="J20" s="1"/>
      <c r="K20" s="1"/>
    </row>
    <row r="21" spans="1:11" ht="15.75" x14ac:dyDescent="0.2">
      <c r="A21" s="222" t="s">
        <v>341</v>
      </c>
      <c r="B21" s="15" t="s">
        <v>339</v>
      </c>
      <c r="C21" s="221" t="s">
        <v>337</v>
      </c>
      <c r="D21" s="220">
        <v>0.6</v>
      </c>
      <c r="E21" s="221">
        <f t="shared" si="2"/>
        <v>510</v>
      </c>
      <c r="F21" s="220">
        <f>C39</f>
        <v>1744.86</v>
      </c>
      <c r="G21" s="35">
        <f t="shared" si="3"/>
        <v>2254.8599999999997</v>
      </c>
      <c r="H21" s="1"/>
      <c r="I21" s="1"/>
      <c r="J21" s="1"/>
      <c r="K21" s="1"/>
    </row>
    <row r="22" spans="1:11" ht="15.75" hidden="1" x14ac:dyDescent="0.2">
      <c r="A22" s="219" t="s">
        <v>225</v>
      </c>
      <c r="B22" s="224" t="s">
        <v>327</v>
      </c>
      <c r="C22" s="225" t="s">
        <v>325</v>
      </c>
      <c r="D22" s="223">
        <v>0.5</v>
      </c>
      <c r="E22" s="225">
        <f t="shared" si="2"/>
        <v>425</v>
      </c>
      <c r="F22" s="225" t="e">
        <f>#REF!</f>
        <v>#REF!</v>
      </c>
      <c r="G22" s="35" t="e">
        <f t="shared" si="3"/>
        <v>#REF!</v>
      </c>
      <c r="H22" s="1"/>
      <c r="I22" s="1"/>
      <c r="J22" s="1"/>
      <c r="K22" s="1"/>
    </row>
    <row r="23" spans="1:11" ht="15.75" x14ac:dyDescent="0.2">
      <c r="A23" s="219" t="s">
        <v>334</v>
      </c>
      <c r="B23" s="220" t="s">
        <v>66</v>
      </c>
      <c r="C23" s="220" t="s">
        <v>7</v>
      </c>
      <c r="D23" s="220">
        <v>1.3</v>
      </c>
      <c r="E23" s="221">
        <f>D23*$J$40</f>
        <v>1105</v>
      </c>
      <c r="F23" s="220">
        <f>C35</f>
        <v>625.91999999999996</v>
      </c>
      <c r="G23" s="35">
        <f>F23+E23</f>
        <v>1730.92</v>
      </c>
      <c r="H23" s="1"/>
      <c r="I23" s="1"/>
      <c r="J23" s="1"/>
      <c r="K23" s="1"/>
    </row>
    <row r="24" spans="1:11" ht="15.75" x14ac:dyDescent="0.2">
      <c r="A24" s="219" t="s">
        <v>342</v>
      </c>
      <c r="B24" s="227" t="s">
        <v>143</v>
      </c>
      <c r="C24" s="15" t="s">
        <v>344</v>
      </c>
      <c r="D24" s="226">
        <v>0.5</v>
      </c>
      <c r="E24" s="227">
        <f>J40*D24</f>
        <v>425</v>
      </c>
      <c r="F24" s="226">
        <f>C37*3+C38*4</f>
        <v>2106.1200000000003</v>
      </c>
      <c r="G24" s="35">
        <f t="shared" si="3"/>
        <v>2531.1200000000003</v>
      </c>
      <c r="H24" s="1"/>
      <c r="I24" s="1"/>
      <c r="J24" s="1"/>
      <c r="K24" s="1"/>
    </row>
    <row r="25" spans="1:11" ht="0.75" customHeight="1" thickBot="1" x14ac:dyDescent="0.25">
      <c r="A25" s="113"/>
      <c r="B25" s="290" t="s">
        <v>178</v>
      </c>
      <c r="C25" s="291"/>
      <c r="D25" s="291"/>
      <c r="E25" s="291"/>
      <c r="F25" s="292"/>
      <c r="G25" s="114"/>
      <c r="H25" s="1"/>
      <c r="I25" s="1"/>
      <c r="J25" s="1"/>
      <c r="K25" s="1"/>
    </row>
    <row r="26" spans="1:11" ht="30.75" hidden="1" customHeight="1" x14ac:dyDescent="0.2">
      <c r="A26" s="218">
        <v>20000</v>
      </c>
      <c r="B26" s="225" t="s">
        <v>145</v>
      </c>
      <c r="C26" s="225" t="s">
        <v>330</v>
      </c>
      <c r="D26" s="225">
        <v>0.8</v>
      </c>
      <c r="E26" s="225">
        <f>J40*D26</f>
        <v>680</v>
      </c>
      <c r="F26" s="225">
        <f>C30+C35*9+C40</f>
        <v>11652.779999999999</v>
      </c>
      <c r="G26" s="35">
        <f t="shared" si="3"/>
        <v>12332.779999999999</v>
      </c>
      <c r="H26" s="1"/>
      <c r="I26" s="1"/>
      <c r="J26" s="1"/>
      <c r="K26" s="1"/>
    </row>
    <row r="27" spans="1:11" ht="39" hidden="1" thickBot="1" x14ac:dyDescent="0.25">
      <c r="A27" s="189">
        <v>40000</v>
      </c>
      <c r="B27" s="32" t="s">
        <v>53</v>
      </c>
      <c r="C27" s="33" t="s">
        <v>331</v>
      </c>
      <c r="D27" s="33">
        <v>1.6</v>
      </c>
      <c r="E27" s="33">
        <f>J40*D27</f>
        <v>1360</v>
      </c>
      <c r="F27" s="32" t="e">
        <f>C30+C31+C32+C35*9+C40+#REF!+#REF!+C33</f>
        <v>#REF!</v>
      </c>
      <c r="G27" s="37" t="e">
        <f t="shared" si="3"/>
        <v>#REF!</v>
      </c>
      <c r="H27" s="1"/>
      <c r="I27" s="1"/>
      <c r="J27" s="1"/>
      <c r="K27" s="1"/>
    </row>
    <row r="28" spans="1:11" ht="13.5" thickBot="1" x14ac:dyDescent="0.25">
      <c r="A28" s="16"/>
      <c r="B28" s="282" t="s">
        <v>180</v>
      </c>
      <c r="C28" s="282"/>
      <c r="D28" s="17"/>
      <c r="E28" s="17"/>
      <c r="F28" s="17"/>
      <c r="G28" s="17"/>
      <c r="H28" s="1"/>
      <c r="I28" s="1"/>
      <c r="J28" s="1"/>
      <c r="K28" s="1"/>
    </row>
    <row r="29" spans="1:11" ht="18.75" thickBot="1" x14ac:dyDescent="0.3">
      <c r="A29" s="16"/>
      <c r="B29" s="128" t="s">
        <v>49</v>
      </c>
      <c r="C29" s="229" t="s">
        <v>121</v>
      </c>
      <c r="D29" s="17"/>
      <c r="E29" s="17"/>
      <c r="F29" s="17"/>
      <c r="G29" s="17"/>
      <c r="H29" s="1"/>
      <c r="I29" s="1"/>
      <c r="J29" s="1"/>
      <c r="K29" s="1"/>
    </row>
    <row r="30" spans="1:11" ht="14.25" x14ac:dyDescent="0.2">
      <c r="A30" s="16"/>
      <c r="B30" s="129" t="s">
        <v>427</v>
      </c>
      <c r="C30" s="125">
        <v>488.46</v>
      </c>
      <c r="D30" s="17"/>
      <c r="E30" s="17"/>
      <c r="F30" s="17"/>
      <c r="G30" s="17"/>
      <c r="H30" s="1"/>
      <c r="I30" s="1"/>
      <c r="J30" s="1"/>
      <c r="K30" s="1"/>
    </row>
    <row r="31" spans="1:11" ht="14.25" x14ac:dyDescent="0.2">
      <c r="A31" s="16"/>
      <c r="B31" s="130" t="s">
        <v>428</v>
      </c>
      <c r="C31" s="126">
        <v>2381.52</v>
      </c>
      <c r="D31" s="17"/>
      <c r="E31" s="17"/>
      <c r="F31" s="17"/>
      <c r="G31" s="17"/>
      <c r="H31" s="1"/>
      <c r="I31" s="1"/>
      <c r="J31" s="1"/>
      <c r="K31" s="1"/>
    </row>
    <row r="32" spans="1:11" ht="14.25" x14ac:dyDescent="0.2">
      <c r="A32" s="16"/>
      <c r="B32" s="130" t="s">
        <v>429</v>
      </c>
      <c r="C32" s="126">
        <v>721.8</v>
      </c>
      <c r="D32" s="17"/>
      <c r="E32" s="17"/>
      <c r="F32" s="17"/>
      <c r="G32" s="17"/>
      <c r="H32" s="1"/>
      <c r="I32" s="1"/>
      <c r="J32" s="1"/>
      <c r="K32" s="1"/>
    </row>
    <row r="33" spans="1:11" ht="14.25" x14ac:dyDescent="0.2">
      <c r="A33" s="16"/>
      <c r="B33" s="130" t="s">
        <v>430</v>
      </c>
      <c r="C33" s="126">
        <v>1359.54</v>
      </c>
      <c r="D33" s="17"/>
      <c r="E33" s="17"/>
      <c r="F33" s="17"/>
      <c r="G33" s="17"/>
      <c r="H33" s="1"/>
      <c r="I33" s="1"/>
      <c r="J33" s="1"/>
      <c r="K33" s="1"/>
    </row>
    <row r="34" spans="1:11" ht="14.25" x14ac:dyDescent="0.2">
      <c r="A34" s="16"/>
      <c r="B34" s="120" t="s">
        <v>431</v>
      </c>
      <c r="C34" s="126">
        <v>213.24</v>
      </c>
      <c r="D34" s="17"/>
      <c r="E34" s="17"/>
      <c r="F34" s="17"/>
      <c r="G34" s="17"/>
      <c r="H34" s="1"/>
      <c r="I34" s="1"/>
      <c r="J34" s="1"/>
      <c r="K34" s="1"/>
    </row>
    <row r="35" spans="1:11" ht="34.5" customHeight="1" x14ac:dyDescent="0.2">
      <c r="A35" s="16"/>
      <c r="B35" s="130" t="s">
        <v>435</v>
      </c>
      <c r="C35" s="126">
        <v>625.91999999999996</v>
      </c>
      <c r="D35" s="17"/>
      <c r="E35" s="17"/>
      <c r="F35" s="17"/>
      <c r="G35" s="17"/>
      <c r="H35" s="1"/>
      <c r="I35" s="1"/>
      <c r="J35" s="1"/>
      <c r="K35" s="1"/>
    </row>
    <row r="36" spans="1:11" ht="14.25" x14ac:dyDescent="0.2">
      <c r="A36" s="16"/>
      <c r="B36" s="130" t="s">
        <v>445</v>
      </c>
      <c r="C36" s="126">
        <v>151.13999999999999</v>
      </c>
      <c r="D36" s="17"/>
      <c r="E36" s="17"/>
      <c r="F36" s="17"/>
      <c r="G36" s="17"/>
      <c r="H36" s="1"/>
      <c r="I36" s="1"/>
      <c r="J36" s="1"/>
      <c r="K36" s="1"/>
    </row>
    <row r="37" spans="1:11" ht="14.25" x14ac:dyDescent="0.2">
      <c r="A37" s="16"/>
      <c r="B37" s="130" t="s">
        <v>436</v>
      </c>
      <c r="C37" s="126">
        <v>681.12</v>
      </c>
      <c r="D37" s="17"/>
      <c r="E37" s="17"/>
      <c r="F37" s="17"/>
      <c r="G37" s="17"/>
      <c r="H37" s="1"/>
      <c r="I37" s="1"/>
      <c r="J37" s="1"/>
      <c r="K37" s="1"/>
    </row>
    <row r="38" spans="1:11" ht="14.25" x14ac:dyDescent="0.2">
      <c r="A38" s="16"/>
      <c r="B38" s="130" t="s">
        <v>438</v>
      </c>
      <c r="C38" s="126">
        <v>15.69</v>
      </c>
      <c r="D38" s="17"/>
      <c r="E38" s="17"/>
      <c r="F38" s="17"/>
      <c r="G38" s="17"/>
      <c r="H38" s="1"/>
      <c r="I38" s="1"/>
      <c r="J38" s="1"/>
      <c r="K38" s="1"/>
    </row>
    <row r="39" spans="1:11" ht="15" thickBot="1" x14ac:dyDescent="0.25">
      <c r="A39" s="16"/>
      <c r="B39" s="130" t="s">
        <v>446</v>
      </c>
      <c r="C39" s="126">
        <v>1744.86</v>
      </c>
      <c r="D39" s="17"/>
      <c r="E39" s="17"/>
      <c r="F39" s="17"/>
      <c r="G39" s="17"/>
      <c r="H39" s="1"/>
      <c r="I39" s="1"/>
      <c r="J39" s="1"/>
      <c r="K39" s="1"/>
    </row>
    <row r="40" spans="1:11" ht="26.25" thickBot="1" x14ac:dyDescent="0.25">
      <c r="A40" s="16"/>
      <c r="B40" s="130" t="s">
        <v>447</v>
      </c>
      <c r="C40" s="126">
        <v>5531.04</v>
      </c>
      <c r="D40" s="17"/>
      <c r="E40" s="17"/>
      <c r="H40" s="1"/>
      <c r="I40" s="118" t="s">
        <v>69</v>
      </c>
      <c r="J40" s="119">
        <v>850</v>
      </c>
      <c r="K40" s="1"/>
    </row>
    <row r="41" spans="1:11" ht="14.25" x14ac:dyDescent="0.2">
      <c r="A41" s="16"/>
      <c r="B41" s="228" t="s">
        <v>340</v>
      </c>
      <c r="C41" s="126">
        <v>5146.92</v>
      </c>
      <c r="D41" s="17"/>
      <c r="E41" s="17"/>
      <c r="F41" s="17"/>
      <c r="G41" s="17"/>
      <c r="H41" s="1"/>
      <c r="I41" s="1"/>
      <c r="J41" s="1"/>
      <c r="K41" s="1"/>
    </row>
    <row r="42" spans="1:11" ht="14.25" x14ac:dyDescent="0.2">
      <c r="A42" s="16"/>
      <c r="B42" s="130" t="s">
        <v>448</v>
      </c>
      <c r="C42" s="126">
        <v>3745.38</v>
      </c>
      <c r="D42" s="17"/>
      <c r="E42" s="17"/>
      <c r="F42" s="17"/>
      <c r="G42" s="17"/>
      <c r="H42" s="1"/>
      <c r="I42" s="1"/>
      <c r="J42" s="1"/>
      <c r="K42" s="1"/>
    </row>
    <row r="43" spans="1:11" ht="14.25" x14ac:dyDescent="0.2">
      <c r="A43" s="16"/>
      <c r="B43" s="130" t="s">
        <v>443</v>
      </c>
      <c r="C43" s="126">
        <v>94.26</v>
      </c>
      <c r="D43" s="17"/>
      <c r="E43" s="17"/>
      <c r="F43" s="17"/>
      <c r="G43" s="17"/>
      <c r="H43" s="1"/>
      <c r="I43" s="1"/>
      <c r="J43" s="1"/>
      <c r="K43" s="1"/>
    </row>
    <row r="44" spans="1:11" ht="15" thickBot="1" x14ac:dyDescent="0.25">
      <c r="A44" s="16"/>
      <c r="B44" s="131" t="s">
        <v>444</v>
      </c>
      <c r="C44" s="127">
        <v>104.82</v>
      </c>
      <c r="D44" s="17"/>
      <c r="E44" s="17"/>
      <c r="F44" s="17"/>
      <c r="G44" s="17"/>
      <c r="H44" s="1"/>
      <c r="I44" s="1"/>
      <c r="J44" s="1"/>
      <c r="K44" s="1"/>
    </row>
    <row r="45" spans="1:11" ht="15" x14ac:dyDescent="0.2">
      <c r="A45"/>
      <c r="B45" s="29"/>
      <c r="C45" s="29"/>
      <c r="D45"/>
      <c r="E45"/>
      <c r="F45"/>
      <c r="G45"/>
    </row>
    <row r="46" spans="1:11" ht="15" x14ac:dyDescent="0.2">
      <c r="A46"/>
      <c r="B46" s="29"/>
      <c r="C46" s="29"/>
      <c r="D46"/>
      <c r="E46"/>
      <c r="F46"/>
      <c r="G46"/>
    </row>
    <row r="47" spans="1:11" ht="15" x14ac:dyDescent="0.2">
      <c r="A47"/>
      <c r="B47" s="29"/>
      <c r="C47" s="29"/>
      <c r="D47"/>
      <c r="E47"/>
      <c r="F47"/>
      <c r="G47"/>
    </row>
    <row r="48" spans="1:11" ht="15" x14ac:dyDescent="0.2">
      <c r="A48"/>
      <c r="B48" s="29"/>
      <c r="C48" s="29"/>
      <c r="D48"/>
      <c r="E48"/>
      <c r="F48"/>
      <c r="G48"/>
    </row>
    <row r="49" spans="1:7" ht="15" x14ac:dyDescent="0.2">
      <c r="A49"/>
      <c r="B49" s="29"/>
      <c r="C49" s="29"/>
      <c r="D49"/>
      <c r="E49"/>
      <c r="F49"/>
      <c r="G49"/>
    </row>
    <row r="50" spans="1:7" ht="15" x14ac:dyDescent="0.2">
      <c r="A50"/>
      <c r="B50" s="29"/>
      <c r="C50" s="29"/>
      <c r="D50"/>
      <c r="E50"/>
      <c r="F50"/>
      <c r="G50"/>
    </row>
    <row r="51" spans="1:7" ht="15" x14ac:dyDescent="0.2">
      <c r="A51"/>
      <c r="B51" s="29"/>
      <c r="C51" s="29"/>
      <c r="D51"/>
      <c r="E51"/>
      <c r="F51"/>
      <c r="G51"/>
    </row>
    <row r="52" spans="1:7" ht="15" x14ac:dyDescent="0.2">
      <c r="A52"/>
      <c r="B52" s="29"/>
      <c r="C52" s="29"/>
      <c r="D52"/>
      <c r="E52"/>
      <c r="F52"/>
      <c r="G52"/>
    </row>
    <row r="53" spans="1:7" x14ac:dyDescent="0.2">
      <c r="A53"/>
      <c r="B53" s="17"/>
      <c r="C53" s="17"/>
      <c r="D53"/>
      <c r="E53"/>
      <c r="F53"/>
      <c r="G53"/>
    </row>
    <row r="54" spans="1:7" x14ac:dyDescent="0.2">
      <c r="A54"/>
      <c r="B54" s="17"/>
      <c r="C54" s="17"/>
      <c r="D54"/>
      <c r="E54"/>
      <c r="F54"/>
      <c r="G54"/>
    </row>
    <row r="55" spans="1:7" x14ac:dyDescent="0.2">
      <c r="A55"/>
      <c r="B55" s="17"/>
      <c r="C55" s="17"/>
      <c r="D55"/>
      <c r="E55"/>
      <c r="F55"/>
      <c r="G55"/>
    </row>
    <row r="56" spans="1:7" x14ac:dyDescent="0.2">
      <c r="A56"/>
      <c r="B56" s="17"/>
      <c r="C56" s="17"/>
      <c r="D56"/>
      <c r="E56"/>
      <c r="F56"/>
      <c r="G56"/>
    </row>
    <row r="57" spans="1:7" x14ac:dyDescent="0.2">
      <c r="A57"/>
      <c r="B57" s="17"/>
      <c r="C57" s="17"/>
      <c r="D57"/>
      <c r="E57"/>
      <c r="F57"/>
      <c r="G57"/>
    </row>
  </sheetData>
  <sheetProtection algorithmName="SHA-512" hashValue="16LcFRyNjEROMbqy6Jviv7YKdY38ahY9/96DwWRwBOWf68S+1krHzE/wl1jrxL8JmuoSDz95s2ra5T3le3RYXw==" saltValue="IIP2Gr75sCcQZ/UaSXQT1w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hiddenRows="1" hiddenColumns="1" topLeftCell="A8">
      <selection activeCell="F13" sqref="F13"/>
      <pageMargins left="0.7" right="0.7" top="0.75" bottom="0.75" header="0.3" footer="0.3"/>
      <pageSetup paperSize="9" orientation="portrait" r:id="rId1"/>
    </customSheetView>
  </customSheetViews>
  <mergeCells count="7">
    <mergeCell ref="B28:C28"/>
    <mergeCell ref="A8:G8"/>
    <mergeCell ref="A11:A12"/>
    <mergeCell ref="B11:B12"/>
    <mergeCell ref="A18:A19"/>
    <mergeCell ref="B18:B19"/>
    <mergeCell ref="B25:F25"/>
  </mergeCell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22" workbookViewId="0">
      <selection activeCell="C47" sqref="C47:C48"/>
    </sheetView>
  </sheetViews>
  <sheetFormatPr defaultRowHeight="12.75" x14ac:dyDescent="0.2"/>
  <cols>
    <col min="1" max="1" width="14.140625" style="10" customWidth="1"/>
    <col min="2" max="2" width="33.140625" style="10" customWidth="1"/>
    <col min="3" max="3" width="36.42578125" style="10" customWidth="1"/>
    <col min="4" max="4" width="10.28515625" style="10" customWidth="1"/>
    <col min="5" max="5" width="15.85546875" style="10" customWidth="1"/>
    <col min="6" max="6" width="15.28515625" style="10" customWidth="1"/>
    <col min="7" max="7" width="14.5703125" style="10" customWidth="1"/>
    <col min="8" max="8" width="11.28515625" style="10" hidden="1" customWidth="1"/>
    <col min="9" max="10" width="9.140625" hidden="1" customWidth="1"/>
    <col min="11" max="11" width="21.7109375" hidden="1" customWidth="1"/>
    <col min="12" max="12" width="21.28515625" hidden="1" customWidth="1"/>
    <col min="13" max="13" width="21" hidden="1" customWidth="1"/>
    <col min="14" max="14" width="25.7109375" hidden="1" customWidth="1"/>
    <col min="15" max="15" width="2.42578125" customWidth="1"/>
    <col min="16" max="16" width="34.28515625" customWidth="1"/>
    <col min="17" max="17" width="14.7109375" customWidth="1"/>
  </cols>
  <sheetData>
    <row r="1" spans="1:11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11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11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11" ht="15.75" hidden="1" x14ac:dyDescent="0.25">
      <c r="A4" s="12"/>
      <c r="B4" s="12"/>
      <c r="C4" s="12"/>
      <c r="D4" s="12"/>
      <c r="F4" s="44"/>
      <c r="G4" s="44"/>
      <c r="H4" s="44"/>
    </row>
    <row r="5" spans="1:11" ht="15.75" hidden="1" x14ac:dyDescent="0.25">
      <c r="A5" s="12"/>
      <c r="B5" s="12"/>
      <c r="C5" s="12"/>
      <c r="D5" s="12"/>
      <c r="F5" s="44"/>
      <c r="G5" s="44"/>
      <c r="H5" s="44"/>
    </row>
    <row r="6" spans="1:11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11" ht="21" customHeight="1" x14ac:dyDescent="0.2">
      <c r="A7" s="283" t="s">
        <v>374</v>
      </c>
      <c r="B7" s="329"/>
      <c r="C7" s="329"/>
      <c r="D7" s="329"/>
      <c r="E7" s="329"/>
      <c r="F7" s="329"/>
      <c r="G7" s="329"/>
      <c r="H7" s="45"/>
    </row>
    <row r="8" spans="1:11" ht="28.5" customHeight="1" thickBot="1" x14ac:dyDescent="0.25">
      <c r="A8" s="324"/>
      <c r="B8" s="324"/>
      <c r="C8" s="324"/>
      <c r="D8" s="324"/>
      <c r="E8" s="324"/>
      <c r="F8" s="324"/>
      <c r="G8" s="324"/>
      <c r="H8"/>
    </row>
    <row r="9" spans="1:11" ht="44.25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197</v>
      </c>
      <c r="I9" s="1"/>
      <c r="J9" s="1"/>
      <c r="K9" s="1"/>
    </row>
    <row r="10" spans="1:11" ht="33" customHeight="1" x14ac:dyDescent="0.2">
      <c r="A10" s="88" t="s">
        <v>102</v>
      </c>
      <c r="B10" s="165" t="s">
        <v>8</v>
      </c>
      <c r="C10" s="165" t="s">
        <v>272</v>
      </c>
      <c r="D10" s="165">
        <f>0.8+0.8</f>
        <v>1.6</v>
      </c>
      <c r="E10" s="165">
        <f>D10*K26</f>
        <v>1368</v>
      </c>
      <c r="F10" s="165">
        <f>C23+C24+C32+C33*39</f>
        <v>9639.66</v>
      </c>
      <c r="G10" s="82">
        <f>F10+E10</f>
        <v>11007.66</v>
      </c>
    </row>
    <row r="11" spans="1:11" ht="51" customHeight="1" x14ac:dyDescent="0.2">
      <c r="A11" s="81" t="s">
        <v>103</v>
      </c>
      <c r="B11" s="164" t="s">
        <v>11</v>
      </c>
      <c r="C11" s="164" t="s">
        <v>22</v>
      </c>
      <c r="D11" s="164">
        <f>0.7+0.6+0.8+0.2+1.1+0.8</f>
        <v>4.2</v>
      </c>
      <c r="E11" s="164">
        <f>D11*K26</f>
        <v>3591</v>
      </c>
      <c r="F11" s="164">
        <f>C23+C24+C27+C30+C29*6+C32+C33*39</f>
        <v>22311.119999999999</v>
      </c>
      <c r="G11" s="83">
        <f t="shared" ref="G11:G20" si="0">E11+F11</f>
        <v>25902.12</v>
      </c>
    </row>
    <row r="12" spans="1:11" ht="33.75" customHeight="1" x14ac:dyDescent="0.2">
      <c r="A12" s="81" t="s">
        <v>104</v>
      </c>
      <c r="B12" s="162" t="s">
        <v>8</v>
      </c>
      <c r="C12" s="162" t="s">
        <v>270</v>
      </c>
      <c r="D12" s="162">
        <f>0.8+0.8</f>
        <v>1.6</v>
      </c>
      <c r="E12" s="162">
        <f>D12*K26</f>
        <v>1368</v>
      </c>
      <c r="F12" s="162">
        <f>F10</f>
        <v>9639.66</v>
      </c>
      <c r="G12" s="83">
        <f t="shared" si="0"/>
        <v>11007.66</v>
      </c>
    </row>
    <row r="13" spans="1:11" ht="62.25" customHeight="1" x14ac:dyDescent="0.2">
      <c r="A13" s="81" t="s">
        <v>105</v>
      </c>
      <c r="B13" s="164" t="s">
        <v>199</v>
      </c>
      <c r="C13" s="164" t="s">
        <v>20</v>
      </c>
      <c r="D13" s="164">
        <f>0.7+0.6+0.8+0.2+0.3+0.4+0.5+0.8+0.4</f>
        <v>4.7</v>
      </c>
      <c r="E13" s="164">
        <f>D13*K26</f>
        <v>4018.5</v>
      </c>
      <c r="F13" s="164">
        <f>C23+C24+C25+C27+C30+C32+C33*39+C36*11.5+C38*12+C31</f>
        <v>42826.5</v>
      </c>
      <c r="G13" s="83">
        <f t="shared" si="0"/>
        <v>46845</v>
      </c>
    </row>
    <row r="14" spans="1:11" ht="33" customHeight="1" x14ac:dyDescent="0.2">
      <c r="A14" s="81" t="s">
        <v>97</v>
      </c>
      <c r="B14" s="162" t="s">
        <v>8</v>
      </c>
      <c r="C14" s="162" t="s">
        <v>270</v>
      </c>
      <c r="D14" s="162">
        <f>0.8+0.8</f>
        <v>1.6</v>
      </c>
      <c r="E14" s="162">
        <f>D14*K26</f>
        <v>1368</v>
      </c>
      <c r="F14" s="162">
        <f>F10</f>
        <v>9639.66</v>
      </c>
      <c r="G14" s="83">
        <f t="shared" si="0"/>
        <v>11007.66</v>
      </c>
    </row>
    <row r="15" spans="1:11" ht="53.25" customHeight="1" x14ac:dyDescent="0.2">
      <c r="A15" s="81" t="s">
        <v>106</v>
      </c>
      <c r="B15" s="164" t="s">
        <v>12</v>
      </c>
      <c r="C15" s="164" t="s">
        <v>22</v>
      </c>
      <c r="D15" s="164">
        <f>0.7+0.6+0.8+0.2+1.1+0.8</f>
        <v>4.2</v>
      </c>
      <c r="E15" s="164">
        <f>D15*K26</f>
        <v>3591</v>
      </c>
      <c r="F15" s="164">
        <f>F11</f>
        <v>22311.119999999999</v>
      </c>
      <c r="G15" s="83">
        <f t="shared" si="0"/>
        <v>25902.12</v>
      </c>
    </row>
    <row r="16" spans="1:11" ht="33" customHeight="1" x14ac:dyDescent="0.2">
      <c r="A16" s="81" t="s">
        <v>107</v>
      </c>
      <c r="B16" s="162" t="s">
        <v>8</v>
      </c>
      <c r="C16" s="162" t="s">
        <v>270</v>
      </c>
      <c r="D16" s="162">
        <f>0.8+0.8</f>
        <v>1.6</v>
      </c>
      <c r="E16" s="162">
        <f>D16*K26</f>
        <v>1368</v>
      </c>
      <c r="F16" s="162">
        <f>F10</f>
        <v>9639.66</v>
      </c>
      <c r="G16" s="83">
        <f t="shared" si="0"/>
        <v>11007.66</v>
      </c>
    </row>
    <row r="17" spans="1:11" ht="66.75" customHeight="1" x14ac:dyDescent="0.2">
      <c r="A17" s="81" t="s">
        <v>108</v>
      </c>
      <c r="B17" s="164" t="s">
        <v>200</v>
      </c>
      <c r="C17" s="164" t="s">
        <v>20</v>
      </c>
      <c r="D17" s="164">
        <f>0.7+0.6+0.8+0.2+0.3+0.4+0.5+0.8+0.4</f>
        <v>4.7</v>
      </c>
      <c r="E17" s="164">
        <f>D17*K26</f>
        <v>4018.5</v>
      </c>
      <c r="F17" s="164">
        <f>F13</f>
        <v>42826.5</v>
      </c>
      <c r="G17" s="83">
        <f t="shared" si="0"/>
        <v>46845</v>
      </c>
    </row>
    <row r="18" spans="1:11" ht="33" customHeight="1" x14ac:dyDescent="0.2">
      <c r="A18" s="81" t="s">
        <v>14</v>
      </c>
      <c r="B18" s="162" t="s">
        <v>15</v>
      </c>
      <c r="C18" s="162" t="s">
        <v>268</v>
      </c>
      <c r="D18" s="162">
        <f>0.6+0.6+0.2+0.3+0.1</f>
        <v>1.8</v>
      </c>
      <c r="E18" s="162">
        <f>D18*K26</f>
        <v>1539</v>
      </c>
      <c r="F18" s="162">
        <f>C26+C42*3</f>
        <v>1626.57</v>
      </c>
      <c r="G18" s="83">
        <f t="shared" si="0"/>
        <v>3165.5699999999997</v>
      </c>
    </row>
    <row r="19" spans="1:11" ht="33.75" customHeight="1" x14ac:dyDescent="0.2">
      <c r="A19" s="81" t="s">
        <v>16</v>
      </c>
      <c r="B19" s="164" t="s">
        <v>151</v>
      </c>
      <c r="C19" s="164" t="s">
        <v>17</v>
      </c>
      <c r="D19" s="164">
        <f>0.6+0.6+0.2+0.3+0.1</f>
        <v>1.8</v>
      </c>
      <c r="E19" s="164">
        <f>D19*K26</f>
        <v>1539</v>
      </c>
      <c r="F19" s="164">
        <f>C28+C26+C42*3</f>
        <v>4280.79</v>
      </c>
      <c r="G19" s="83">
        <f t="shared" si="0"/>
        <v>5819.79</v>
      </c>
    </row>
    <row r="20" spans="1:11" ht="69" customHeight="1" x14ac:dyDescent="0.2">
      <c r="A20" s="81" t="s">
        <v>249</v>
      </c>
      <c r="B20" s="162" t="s">
        <v>201</v>
      </c>
      <c r="C20" s="162" t="s">
        <v>18</v>
      </c>
      <c r="D20" s="162">
        <f>0.6+0.6+0.2+0.4+0.2</f>
        <v>1.9999999999999998</v>
      </c>
      <c r="E20" s="162">
        <f>D20*K26</f>
        <v>1709.9999999999998</v>
      </c>
      <c r="F20" s="162">
        <f>C41*22+C43*20+C26+C25+C40</f>
        <v>22555.199999999997</v>
      </c>
      <c r="G20" s="83">
        <f t="shared" si="0"/>
        <v>24265.199999999997</v>
      </c>
    </row>
    <row r="21" spans="1:11" ht="13.5" thickBot="1" x14ac:dyDescent="0.25">
      <c r="B21" s="334" t="s">
        <v>180</v>
      </c>
      <c r="C21" s="335"/>
    </row>
    <row r="22" spans="1:11" ht="18.75" thickBot="1" x14ac:dyDescent="0.25">
      <c r="B22" s="80" t="s">
        <v>49</v>
      </c>
      <c r="C22" s="147" t="s">
        <v>121</v>
      </c>
    </row>
    <row r="23" spans="1:11" ht="14.25" x14ac:dyDescent="0.2">
      <c r="B23" s="143" t="s">
        <v>155</v>
      </c>
      <c r="C23" s="125">
        <v>649.26</v>
      </c>
    </row>
    <row r="24" spans="1:11" ht="12.75" customHeight="1" x14ac:dyDescent="0.2">
      <c r="B24" s="120" t="s">
        <v>449</v>
      </c>
      <c r="C24" s="126">
        <v>630.12</v>
      </c>
    </row>
    <row r="25" spans="1:11" ht="15" thickBot="1" x14ac:dyDescent="0.25">
      <c r="B25" s="120" t="s">
        <v>475</v>
      </c>
      <c r="C25" s="152">
        <f>4468.26+1532.46</f>
        <v>6000.72</v>
      </c>
    </row>
    <row r="26" spans="1:11" ht="26.25" thickBot="1" x14ac:dyDescent="0.25">
      <c r="B26" s="120" t="s">
        <v>416</v>
      </c>
      <c r="C26" s="152">
        <v>630.12</v>
      </c>
      <c r="J26" s="118" t="s">
        <v>166</v>
      </c>
      <c r="K26" s="91">
        <v>855</v>
      </c>
    </row>
    <row r="27" spans="1:11" ht="14.25" x14ac:dyDescent="0.2">
      <c r="B27" s="120" t="s">
        <v>458</v>
      </c>
      <c r="C27" s="126">
        <v>2352.48</v>
      </c>
      <c r="D27" s="12"/>
    </row>
    <row r="28" spans="1:11" ht="14.25" x14ac:dyDescent="0.2">
      <c r="B28" s="120" t="s">
        <v>459</v>
      </c>
      <c r="C28" s="126">
        <v>2654.22</v>
      </c>
      <c r="D28" s="12"/>
    </row>
    <row r="29" spans="1:11" ht="14.25" x14ac:dyDescent="0.2">
      <c r="B29" s="120" t="s">
        <v>460</v>
      </c>
      <c r="C29" s="126">
        <v>1688.1</v>
      </c>
    </row>
    <row r="30" spans="1:11" ht="28.5" x14ac:dyDescent="0.2">
      <c r="B30" s="120" t="s">
        <v>471</v>
      </c>
      <c r="C30" s="149">
        <v>190.38</v>
      </c>
    </row>
    <row r="31" spans="1:11" ht="14.25" x14ac:dyDescent="0.2">
      <c r="B31" s="121" t="s">
        <v>472</v>
      </c>
      <c r="C31" s="148">
        <v>2059.08</v>
      </c>
    </row>
    <row r="32" spans="1:11" ht="14.25" x14ac:dyDescent="0.2">
      <c r="B32" s="120" t="s">
        <v>445</v>
      </c>
      <c r="C32" s="144">
        <v>43.92</v>
      </c>
    </row>
    <row r="33" spans="2:3" ht="14.25" x14ac:dyDescent="0.2">
      <c r="B33" s="120" t="s">
        <v>431</v>
      </c>
      <c r="C33" s="126">
        <v>213.24</v>
      </c>
    </row>
    <row r="34" spans="2:3" ht="14.25" x14ac:dyDescent="0.2">
      <c r="B34" s="120" t="s">
        <v>451</v>
      </c>
      <c r="C34" s="135">
        <v>188.16</v>
      </c>
    </row>
    <row r="35" spans="2:3" ht="14.25" x14ac:dyDescent="0.2">
      <c r="B35" s="120" t="s">
        <v>452</v>
      </c>
      <c r="C35" s="135">
        <v>260.60000000000002</v>
      </c>
    </row>
    <row r="36" spans="2:3" ht="14.25" x14ac:dyDescent="0.2">
      <c r="B36" s="120" t="s">
        <v>474</v>
      </c>
      <c r="C36" s="144">
        <v>924.12</v>
      </c>
    </row>
    <row r="37" spans="2:3" ht="14.25" x14ac:dyDescent="0.2">
      <c r="B37" s="120" t="s">
        <v>461</v>
      </c>
      <c r="C37" s="144">
        <v>248.4</v>
      </c>
    </row>
    <row r="38" spans="2:3" ht="14.25" x14ac:dyDescent="0.2">
      <c r="B38" s="120" t="s">
        <v>462</v>
      </c>
      <c r="C38" s="144">
        <v>996.4</v>
      </c>
    </row>
    <row r="39" spans="2:3" ht="14.25" x14ac:dyDescent="0.2">
      <c r="B39" s="120" t="s">
        <v>466</v>
      </c>
      <c r="C39" s="144">
        <v>1072.2</v>
      </c>
    </row>
    <row r="40" spans="2:3" ht="14.25" x14ac:dyDescent="0.2">
      <c r="B40" s="130" t="s">
        <v>435</v>
      </c>
      <c r="C40" s="126">
        <v>625.91999999999996</v>
      </c>
    </row>
    <row r="41" spans="2:3" ht="14.25" x14ac:dyDescent="0.2">
      <c r="B41" s="130" t="s">
        <v>436</v>
      </c>
      <c r="C41" s="126">
        <v>681.12</v>
      </c>
    </row>
    <row r="42" spans="2:3" ht="14.25" x14ac:dyDescent="0.2">
      <c r="B42" s="120" t="s">
        <v>464</v>
      </c>
      <c r="C42" s="144">
        <v>332.15</v>
      </c>
    </row>
    <row r="43" spans="2:3" ht="14.25" x14ac:dyDescent="0.2">
      <c r="B43" s="130" t="s">
        <v>438</v>
      </c>
      <c r="C43" s="126">
        <v>15.69</v>
      </c>
    </row>
  </sheetData>
  <sheetProtection algorithmName="SHA-512" hashValue="wnVLPZfzGoEJvt5kvCfZBwdHVdk7T70o+U1WiyozsRNowT5Epck9fb1Y1m5Mk30zxeQ3rIi6ghZPJ4q6scbwAw==" saltValue="MtBjuGFj8cqWvYrHRtIa0w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B22">
      <selection activeCell="C47" sqref="C47:C48"/>
      <colBreaks count="1" manualBreakCount="1">
        <brk id="8" min="6" max="42" man="1"/>
      </colBreaks>
      <pageMargins left="0.7" right="0.7" top="0.75" bottom="0.75" header="0.3" footer="0.3"/>
      <pageSetup paperSize="9" scale="59" orientation="portrait" r:id="rId1"/>
    </customSheetView>
  </customSheetViews>
  <mergeCells count="2">
    <mergeCell ref="B21:C21"/>
    <mergeCell ref="A7:G8"/>
  </mergeCells>
  <pageMargins left="0.7" right="0.7" top="0.75" bottom="0.75" header="0.3" footer="0.3"/>
  <pageSetup paperSize="9" scale="59" orientation="portrait" r:id="rId2"/>
  <colBreaks count="1" manualBreakCount="1">
    <brk id="8" min="6" max="42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27" workbookViewId="0">
      <selection activeCell="F38" sqref="F38"/>
    </sheetView>
  </sheetViews>
  <sheetFormatPr defaultRowHeight="12.75" x14ac:dyDescent="0.2"/>
  <cols>
    <col min="1" max="1" width="10.5703125" style="10" customWidth="1"/>
    <col min="2" max="2" width="36" style="10" customWidth="1"/>
    <col min="3" max="3" width="31.42578125" style="10" customWidth="1"/>
    <col min="4" max="4" width="9.5703125" style="10" customWidth="1"/>
    <col min="5" max="5" width="16" style="10" customWidth="1"/>
    <col min="6" max="6" width="14.42578125" style="10" customWidth="1"/>
    <col min="7" max="7" width="14.5703125" style="10" customWidth="1"/>
    <col min="8" max="8" width="14.28515625" style="10" hidden="1" customWidth="1"/>
    <col min="9" max="9" width="17.140625" hidden="1" customWidth="1"/>
    <col min="10" max="10" width="4.28515625" hidden="1" customWidth="1"/>
    <col min="11" max="11" width="21.28515625" hidden="1" customWidth="1"/>
    <col min="12" max="12" width="3.140625" hidden="1" customWidth="1"/>
    <col min="13" max="13" width="21.28515625" hidden="1" customWidth="1"/>
    <col min="14" max="14" width="22.140625" hidden="1" customWidth="1"/>
    <col min="15" max="15" width="1.42578125" hidden="1" customWidth="1"/>
    <col min="16" max="16" width="31.5703125" hidden="1" customWidth="1"/>
  </cols>
  <sheetData>
    <row r="1" spans="1:8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F4" s="44"/>
      <c r="G4" s="44"/>
      <c r="H4" s="44"/>
    </row>
    <row r="5" spans="1:8" ht="15.75" hidden="1" x14ac:dyDescent="0.25">
      <c r="A5" s="12"/>
      <c r="B5" s="12"/>
      <c r="C5" s="12"/>
      <c r="D5" s="12"/>
      <c r="F5" s="44"/>
      <c r="G5" s="44"/>
      <c r="H5" s="44"/>
    </row>
    <row r="6" spans="1:8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8" ht="15" hidden="1" x14ac:dyDescent="0.2">
      <c r="A7" s="12"/>
      <c r="B7" s="47"/>
      <c r="C7" s="47"/>
      <c r="D7" s="47"/>
      <c r="F7" s="45"/>
      <c r="G7" s="45"/>
      <c r="H7" s="45"/>
    </row>
    <row r="8" spans="1:8" ht="51" customHeight="1" thickBot="1" x14ac:dyDescent="0.25">
      <c r="A8" s="317" t="s">
        <v>375</v>
      </c>
      <c r="B8" s="324"/>
      <c r="C8" s="324"/>
      <c r="D8" s="324"/>
      <c r="E8" s="324"/>
      <c r="F8" s="324"/>
      <c r="G8" s="324"/>
      <c r="H8"/>
    </row>
    <row r="9" spans="1:8" ht="56.25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196</v>
      </c>
    </row>
    <row r="10" spans="1:8" ht="27" customHeight="1" x14ac:dyDescent="0.2">
      <c r="A10" s="332" t="s">
        <v>125</v>
      </c>
      <c r="B10" s="330" t="s">
        <v>30</v>
      </c>
      <c r="C10" s="166" t="s">
        <v>202</v>
      </c>
      <c r="D10" s="166">
        <f>1+0.6</f>
        <v>1.6</v>
      </c>
      <c r="E10" s="166">
        <f>D10*J30</f>
        <v>1368</v>
      </c>
      <c r="F10" s="166">
        <f>C30+C50+C40*35</f>
        <v>8793.24</v>
      </c>
      <c r="G10" s="85">
        <f t="shared" ref="G10:G17" si="0">E10+F10</f>
        <v>10161.24</v>
      </c>
    </row>
    <row r="11" spans="1:8" ht="27" customHeight="1" x14ac:dyDescent="0.2">
      <c r="A11" s="333"/>
      <c r="B11" s="319"/>
      <c r="C11" s="162" t="s">
        <v>203</v>
      </c>
      <c r="D11" s="162">
        <f>1+0.6</f>
        <v>1.6</v>
      </c>
      <c r="E11" s="162">
        <f>D11*J30</f>
        <v>1368</v>
      </c>
      <c r="F11" s="162">
        <f>C30+C50+C41*35</f>
        <v>7915.44</v>
      </c>
      <c r="G11" s="77">
        <f t="shared" si="0"/>
        <v>9283.4399999999987</v>
      </c>
    </row>
    <row r="12" spans="1:8" ht="27" customHeight="1" x14ac:dyDescent="0.2">
      <c r="A12" s="333"/>
      <c r="B12" s="165" t="s">
        <v>204</v>
      </c>
      <c r="C12" s="162" t="s">
        <v>273</v>
      </c>
      <c r="D12" s="162">
        <v>0.6</v>
      </c>
      <c r="E12" s="162">
        <f>J30*D12</f>
        <v>513</v>
      </c>
      <c r="F12" s="162">
        <f>C37</f>
        <v>2059.08</v>
      </c>
      <c r="G12" s="77">
        <f>F12+E12</f>
        <v>2572.08</v>
      </c>
    </row>
    <row r="13" spans="1:8" ht="27" customHeight="1" x14ac:dyDescent="0.2">
      <c r="A13" s="333"/>
      <c r="B13" s="162" t="s">
        <v>282</v>
      </c>
      <c r="C13" s="162" t="s">
        <v>274</v>
      </c>
      <c r="D13" s="162">
        <f>0.8+0.2+0.6</f>
        <v>1.6</v>
      </c>
      <c r="E13" s="162">
        <f>D13*J30</f>
        <v>1368</v>
      </c>
      <c r="F13" s="162">
        <f>C31+C34</f>
        <v>3241.56</v>
      </c>
      <c r="G13" s="77">
        <f t="shared" si="0"/>
        <v>4609.5599999999995</v>
      </c>
    </row>
    <row r="14" spans="1:8" ht="27" customHeight="1" x14ac:dyDescent="0.2">
      <c r="A14" s="333"/>
      <c r="B14" s="162" t="s">
        <v>283</v>
      </c>
      <c r="C14" s="162" t="s">
        <v>275</v>
      </c>
      <c r="D14" s="162">
        <f>0.8+0.2+1.3+0.6</f>
        <v>2.9</v>
      </c>
      <c r="E14" s="162">
        <f>D14*J30</f>
        <v>2479.5</v>
      </c>
      <c r="F14" s="162">
        <f>C31+C36*6+C34</f>
        <v>5450.16</v>
      </c>
      <c r="G14" s="77">
        <f t="shared" si="0"/>
        <v>7929.66</v>
      </c>
    </row>
    <row r="15" spans="1:8" ht="27" customHeight="1" x14ac:dyDescent="0.2">
      <c r="A15" s="333"/>
      <c r="B15" s="331" t="s">
        <v>284</v>
      </c>
      <c r="C15" s="162" t="s">
        <v>252</v>
      </c>
      <c r="D15" s="162">
        <f>0.6+0.6</f>
        <v>1.2</v>
      </c>
      <c r="E15" s="162">
        <f>D15*J30</f>
        <v>1026</v>
      </c>
      <c r="F15" s="162">
        <f>C43*15</f>
        <v>3726</v>
      </c>
      <c r="G15" s="77">
        <f t="shared" si="0"/>
        <v>4752</v>
      </c>
    </row>
    <row r="16" spans="1:8" ht="27" customHeight="1" x14ac:dyDescent="0.2">
      <c r="A16" s="333"/>
      <c r="B16" s="319"/>
      <c r="C16" s="162" t="s">
        <v>253</v>
      </c>
      <c r="D16" s="162">
        <f>0.6+0.6</f>
        <v>1.2</v>
      </c>
      <c r="E16" s="162">
        <f>D16*J30</f>
        <v>1026</v>
      </c>
      <c r="F16" s="162">
        <f>C44*14</f>
        <v>13949.6</v>
      </c>
      <c r="G16" s="77">
        <f>E16+F16</f>
        <v>14975.6</v>
      </c>
    </row>
    <row r="17" spans="1:10" ht="27" customHeight="1" x14ac:dyDescent="0.2">
      <c r="A17" s="333"/>
      <c r="B17" s="162" t="s">
        <v>285</v>
      </c>
      <c r="C17" s="162" t="s">
        <v>205</v>
      </c>
      <c r="D17" s="162">
        <f>0.6+0.6</f>
        <v>1.2</v>
      </c>
      <c r="E17" s="162">
        <f>D17*J30</f>
        <v>1026</v>
      </c>
      <c r="F17" s="162">
        <f>C44*11.5</f>
        <v>11458.6</v>
      </c>
      <c r="G17" s="77">
        <f t="shared" si="0"/>
        <v>12484.6</v>
      </c>
      <c r="H17"/>
    </row>
    <row r="18" spans="1:10" ht="27" customHeight="1" x14ac:dyDescent="0.2">
      <c r="A18" s="333"/>
      <c r="B18" s="162" t="s">
        <v>286</v>
      </c>
      <c r="C18" s="162" t="s">
        <v>276</v>
      </c>
      <c r="D18" s="162">
        <f>0.7+0.6</f>
        <v>1.2999999999999998</v>
      </c>
      <c r="E18" s="162">
        <f>D18*J30</f>
        <v>1111.4999999999998</v>
      </c>
      <c r="F18" s="162">
        <f>C47*21+C49*20</f>
        <v>14617.32</v>
      </c>
      <c r="G18" s="77">
        <f>I20+F18</f>
        <v>14617.32</v>
      </c>
      <c r="H18"/>
    </row>
    <row r="19" spans="1:10" ht="27" customHeight="1" x14ac:dyDescent="0.2">
      <c r="A19" s="333"/>
      <c r="B19" s="162" t="s">
        <v>287</v>
      </c>
      <c r="C19" s="162" t="s">
        <v>277</v>
      </c>
      <c r="D19" s="162">
        <f>0.4+0.6</f>
        <v>1</v>
      </c>
      <c r="E19" s="162">
        <f>D19*J30</f>
        <v>855</v>
      </c>
      <c r="F19" s="162">
        <f>C35</f>
        <v>967.62</v>
      </c>
      <c r="G19" s="77">
        <f t="shared" ref="G19:G26" si="1">E19+F19</f>
        <v>1822.62</v>
      </c>
      <c r="H19"/>
    </row>
    <row r="20" spans="1:10" ht="27" customHeight="1" x14ac:dyDescent="0.2">
      <c r="A20" s="333"/>
      <c r="B20" s="162" t="s">
        <v>288</v>
      </c>
      <c r="C20" s="162" t="s">
        <v>168</v>
      </c>
      <c r="D20" s="162">
        <f>0.4+0.6</f>
        <v>1</v>
      </c>
      <c r="E20" s="162">
        <f>D20*J30</f>
        <v>855</v>
      </c>
      <c r="F20" s="162">
        <f>C32</f>
        <v>7408.86</v>
      </c>
      <c r="G20" s="77">
        <f>F20+E20</f>
        <v>8263.86</v>
      </c>
      <c r="H20"/>
    </row>
    <row r="21" spans="1:10" ht="27" customHeight="1" x14ac:dyDescent="0.2">
      <c r="A21" s="333"/>
      <c r="B21" s="162" t="s">
        <v>289</v>
      </c>
      <c r="C21" s="162" t="s">
        <v>278</v>
      </c>
      <c r="D21" s="17">
        <f>0.9+0.6+0.6</f>
        <v>2.1</v>
      </c>
      <c r="E21" s="161">
        <f>D21*J30</f>
        <v>1795.5</v>
      </c>
      <c r="F21" s="162">
        <f>C38</f>
        <v>4507.68</v>
      </c>
      <c r="G21" s="77">
        <f t="shared" si="1"/>
        <v>6303.18</v>
      </c>
      <c r="H21"/>
    </row>
    <row r="22" spans="1:10" ht="27" customHeight="1" x14ac:dyDescent="0.2">
      <c r="A22" s="97"/>
      <c r="B22" s="162" t="s">
        <v>290</v>
      </c>
      <c r="C22" s="162" t="s">
        <v>279</v>
      </c>
      <c r="D22" s="17">
        <f>1+0.6+0.6</f>
        <v>2.2000000000000002</v>
      </c>
      <c r="E22" s="162">
        <f>D22*J30</f>
        <v>1881.0000000000002</v>
      </c>
      <c r="F22" s="162">
        <f>C38</f>
        <v>4507.68</v>
      </c>
      <c r="G22" s="77">
        <f t="shared" si="1"/>
        <v>6388.68</v>
      </c>
      <c r="H22"/>
    </row>
    <row r="23" spans="1:10" ht="40.5" customHeight="1" x14ac:dyDescent="0.2">
      <c r="A23" s="160" t="s">
        <v>14</v>
      </c>
      <c r="B23" s="162" t="s">
        <v>292</v>
      </c>
      <c r="C23" s="162" t="s">
        <v>281</v>
      </c>
      <c r="D23" s="162">
        <f>1.5+0.3+0.7+0.6</f>
        <v>3.1</v>
      </c>
      <c r="E23" s="162">
        <f>D23*J30</f>
        <v>2650.5</v>
      </c>
      <c r="F23" s="162">
        <f>C33+C48*3</f>
        <v>1626.57</v>
      </c>
      <c r="G23" s="77">
        <f t="shared" si="1"/>
        <v>4277.07</v>
      </c>
      <c r="H23"/>
    </row>
    <row r="24" spans="1:10" ht="40.5" customHeight="1" x14ac:dyDescent="0.2">
      <c r="A24" s="297" t="s">
        <v>16</v>
      </c>
      <c r="B24" s="162" t="s">
        <v>293</v>
      </c>
      <c r="C24" s="162" t="s">
        <v>17</v>
      </c>
      <c r="D24" s="162">
        <f>1.5+0.3+0.3+0.7+0.6</f>
        <v>3.4</v>
      </c>
      <c r="E24" s="162">
        <f>D24*J30</f>
        <v>2907</v>
      </c>
      <c r="F24" s="162">
        <f>C35+C33+C48*3</f>
        <v>2594.19</v>
      </c>
      <c r="G24" s="77">
        <f t="shared" si="1"/>
        <v>5501.1900000000005</v>
      </c>
      <c r="H24"/>
    </row>
    <row r="25" spans="1:10" ht="27" customHeight="1" x14ac:dyDescent="0.2">
      <c r="A25" s="298"/>
      <c r="B25" s="162" t="s">
        <v>250</v>
      </c>
      <c r="C25" s="162" t="s">
        <v>255</v>
      </c>
      <c r="D25" s="162">
        <v>5.0999999999999996</v>
      </c>
      <c r="E25" s="162">
        <f>D25*J30</f>
        <v>4360.5</v>
      </c>
      <c r="F25" s="162">
        <f>C39*2</f>
        <v>5792.88</v>
      </c>
      <c r="G25" s="77">
        <f t="shared" si="1"/>
        <v>10153.380000000001</v>
      </c>
      <c r="H25"/>
    </row>
    <row r="26" spans="1:10" ht="72" customHeight="1" thickBot="1" x14ac:dyDescent="0.25">
      <c r="A26" s="163" t="s">
        <v>249</v>
      </c>
      <c r="B26" s="33" t="s">
        <v>294</v>
      </c>
      <c r="C26" s="33" t="s">
        <v>18</v>
      </c>
      <c r="D26" s="33">
        <f>1.5+0.6+0.3+0.7+0.6</f>
        <v>3.6999999999999997</v>
      </c>
      <c r="E26" s="33">
        <f>D26*J30</f>
        <v>3163.4999999999995</v>
      </c>
      <c r="F26" s="33">
        <f>C47*21+C49*20+C33+C48*3+C32+C46</f>
        <v>24278.67</v>
      </c>
      <c r="G26" s="86">
        <f t="shared" si="1"/>
        <v>27442.17</v>
      </c>
      <c r="H26"/>
    </row>
    <row r="27" spans="1:10" x14ac:dyDescent="0.2">
      <c r="A27" s="30"/>
      <c r="B27" s="17"/>
      <c r="C27" s="17"/>
      <c r="D27" s="17"/>
      <c r="E27" s="17"/>
      <c r="F27" s="17"/>
      <c r="G27" s="17"/>
      <c r="H27"/>
    </row>
    <row r="28" spans="1:10" ht="13.5" thickBot="1" x14ac:dyDescent="0.25">
      <c r="A28" s="30"/>
      <c r="D28" s="17"/>
      <c r="E28" s="17"/>
      <c r="F28" s="17"/>
      <c r="G28" s="17"/>
      <c r="H28"/>
    </row>
    <row r="29" spans="1:10" ht="16.5" thickBot="1" x14ac:dyDescent="0.25">
      <c r="A29" s="30"/>
      <c r="B29" s="90" t="s">
        <v>49</v>
      </c>
      <c r="C29" s="112" t="s">
        <v>121</v>
      </c>
      <c r="D29" s="17"/>
      <c r="E29" s="17"/>
      <c r="F29" s="17"/>
      <c r="G29" s="17"/>
      <c r="H29"/>
    </row>
    <row r="30" spans="1:10" ht="15" thickBot="1" x14ac:dyDescent="0.25">
      <c r="A30" s="30"/>
      <c r="B30" s="143" t="s">
        <v>155</v>
      </c>
      <c r="C30" s="125">
        <v>984.9</v>
      </c>
      <c r="D30" s="17"/>
      <c r="E30" s="17"/>
      <c r="H30"/>
      <c r="I30" s="118" t="s">
        <v>166</v>
      </c>
      <c r="J30" s="91">
        <v>855</v>
      </c>
    </row>
    <row r="31" spans="1:10" ht="14.25" x14ac:dyDescent="0.2">
      <c r="A31" s="30"/>
      <c r="B31" s="120" t="s">
        <v>449</v>
      </c>
      <c r="C31" s="149">
        <v>889.08</v>
      </c>
      <c r="D31" s="17"/>
      <c r="E31" s="17"/>
      <c r="F31" s="17"/>
      <c r="G31" s="17"/>
      <c r="H31"/>
    </row>
    <row r="32" spans="1:10" ht="14.25" x14ac:dyDescent="0.2">
      <c r="A32" s="30"/>
      <c r="B32" s="120" t="s">
        <v>450</v>
      </c>
      <c r="C32" s="149">
        <v>7408.86</v>
      </c>
      <c r="D32" s="17"/>
      <c r="E32" s="17"/>
      <c r="F32" s="17"/>
      <c r="G32" s="17"/>
      <c r="H32"/>
    </row>
    <row r="33" spans="1:8" ht="14.25" x14ac:dyDescent="0.2">
      <c r="A33" s="74"/>
      <c r="B33" s="120" t="s">
        <v>416</v>
      </c>
      <c r="C33" s="149">
        <v>630.12</v>
      </c>
      <c r="D33" s="138"/>
      <c r="E33" s="74"/>
      <c r="F33" s="74"/>
      <c r="G33" s="74"/>
      <c r="H33"/>
    </row>
    <row r="34" spans="1:8" ht="14.25" x14ac:dyDescent="0.2">
      <c r="B34" s="120" t="s">
        <v>458</v>
      </c>
      <c r="C34" s="126">
        <v>2352.48</v>
      </c>
      <c r="D34" s="142"/>
      <c r="H34"/>
    </row>
    <row r="35" spans="1:8" ht="14.25" x14ac:dyDescent="0.2">
      <c r="B35" s="120" t="s">
        <v>459</v>
      </c>
      <c r="C35" s="126">
        <v>967.62</v>
      </c>
      <c r="D35" s="12"/>
      <c r="H35"/>
    </row>
    <row r="36" spans="1:8" ht="14.25" x14ac:dyDescent="0.2">
      <c r="B36" s="130" t="s">
        <v>460</v>
      </c>
      <c r="C36" s="197">
        <v>368.1</v>
      </c>
      <c r="D36" s="142"/>
      <c r="H36"/>
    </row>
    <row r="37" spans="1:8" ht="14.25" x14ac:dyDescent="0.2">
      <c r="B37" s="121" t="s">
        <v>472</v>
      </c>
      <c r="C37" s="148">
        <v>2059.08</v>
      </c>
      <c r="D37" s="142"/>
      <c r="H37"/>
    </row>
    <row r="38" spans="1:8" ht="14.25" x14ac:dyDescent="0.2">
      <c r="B38" s="121" t="s">
        <v>468</v>
      </c>
      <c r="C38" s="149">
        <v>4507.68</v>
      </c>
      <c r="D38" s="142"/>
      <c r="H38"/>
    </row>
    <row r="39" spans="1:8" ht="14.25" x14ac:dyDescent="0.2">
      <c r="B39" s="121" t="s">
        <v>470</v>
      </c>
      <c r="C39" s="144">
        <v>2896.44</v>
      </c>
      <c r="D39" s="142"/>
      <c r="H39"/>
    </row>
    <row r="40" spans="1:8" ht="14.25" x14ac:dyDescent="0.2">
      <c r="B40" s="120" t="s">
        <v>431</v>
      </c>
      <c r="C40" s="126">
        <v>213.24</v>
      </c>
      <c r="D40" s="142"/>
      <c r="H40"/>
    </row>
    <row r="41" spans="1:8" ht="14.25" x14ac:dyDescent="0.2">
      <c r="B41" s="120" t="s">
        <v>451</v>
      </c>
      <c r="C41" s="135">
        <v>188.16</v>
      </c>
      <c r="D41" s="142"/>
      <c r="H41"/>
    </row>
    <row r="42" spans="1:8" ht="14.25" x14ac:dyDescent="0.2">
      <c r="B42" s="120" t="s">
        <v>452</v>
      </c>
      <c r="C42" s="135">
        <v>260.60000000000002</v>
      </c>
      <c r="D42" s="142"/>
      <c r="H42"/>
    </row>
    <row r="43" spans="1:8" ht="14.25" x14ac:dyDescent="0.2">
      <c r="B43" s="120" t="s">
        <v>461</v>
      </c>
      <c r="C43" s="144">
        <v>248.4</v>
      </c>
      <c r="D43" s="142"/>
      <c r="H43"/>
    </row>
    <row r="44" spans="1:8" ht="14.25" x14ac:dyDescent="0.2">
      <c r="B44" s="120" t="s">
        <v>462</v>
      </c>
      <c r="C44" s="144">
        <v>996.4</v>
      </c>
      <c r="D44" s="142"/>
      <c r="H44"/>
    </row>
    <row r="45" spans="1:8" ht="14.25" x14ac:dyDescent="0.2">
      <c r="B45" s="120" t="s">
        <v>466</v>
      </c>
      <c r="C45" s="144">
        <v>1072.2</v>
      </c>
      <c r="D45" s="142"/>
      <c r="H45"/>
    </row>
    <row r="46" spans="1:8" ht="14.25" x14ac:dyDescent="0.2">
      <c r="B46" s="130" t="s">
        <v>435</v>
      </c>
      <c r="C46" s="126">
        <v>625.91999999999996</v>
      </c>
      <c r="D46" s="142"/>
      <c r="H46"/>
    </row>
    <row r="47" spans="1:8" ht="14.25" x14ac:dyDescent="0.2">
      <c r="B47" s="130" t="s">
        <v>436</v>
      </c>
      <c r="C47" s="126">
        <v>681.12</v>
      </c>
      <c r="D47" s="142"/>
      <c r="H47"/>
    </row>
    <row r="48" spans="1:8" ht="14.25" x14ac:dyDescent="0.2">
      <c r="B48" s="120" t="s">
        <v>464</v>
      </c>
      <c r="C48" s="144">
        <v>332.15</v>
      </c>
      <c r="D48" s="142"/>
      <c r="H48"/>
    </row>
    <row r="49" spans="1:8" ht="14.25" x14ac:dyDescent="0.2">
      <c r="A49"/>
      <c r="B49" s="130" t="s">
        <v>438</v>
      </c>
      <c r="C49" s="126">
        <v>15.69</v>
      </c>
      <c r="D49" s="142"/>
      <c r="E49"/>
      <c r="F49"/>
      <c r="G49"/>
      <c r="H49"/>
    </row>
    <row r="50" spans="1:8" ht="15" thickBot="1" x14ac:dyDescent="0.25">
      <c r="A50"/>
      <c r="B50" s="155" t="s">
        <v>445</v>
      </c>
      <c r="C50" s="145">
        <v>344.94</v>
      </c>
      <c r="D50" s="142"/>
      <c r="E50"/>
      <c r="F50"/>
      <c r="G50"/>
      <c r="H50"/>
    </row>
  </sheetData>
  <sheetProtection algorithmName="SHA-512" hashValue="EiQc2qKNF0P3oxfRsihSb9B5/ZJ+F6SB2EddpurqBRoQJsS0A2B2cZUxMlcKYkohNXocU749lMKtjxlLqjB+qQ==" saltValue="GI/18r/Ufg8apHY0EqLSkA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7">
      <selection activeCell="F38" sqref="F38"/>
      <colBreaks count="1" manualBreakCount="1">
        <brk id="8" min="7" max="50" man="1"/>
      </colBreaks>
      <pageMargins left="0.7" right="0.7" top="0.75" bottom="0.75" header="0.3" footer="0.3"/>
      <pageSetup paperSize="9" scale="60" orientation="portrait" r:id="rId1"/>
    </customSheetView>
  </customSheetViews>
  <mergeCells count="5">
    <mergeCell ref="A10:A21"/>
    <mergeCell ref="B10:B11"/>
    <mergeCell ref="B15:B16"/>
    <mergeCell ref="A24:A25"/>
    <mergeCell ref="A8:G8"/>
  </mergeCells>
  <pageMargins left="0.7" right="0.7" top="0.75" bottom="0.75" header="0.3" footer="0.3"/>
  <pageSetup paperSize="9" scale="60" orientation="portrait" r:id="rId2"/>
  <colBreaks count="1" manualBreakCount="1">
    <brk id="8" min="7" max="50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3" workbookViewId="0">
      <selection activeCell="B54" sqref="B54"/>
    </sheetView>
  </sheetViews>
  <sheetFormatPr defaultRowHeight="12.75" x14ac:dyDescent="0.2"/>
  <cols>
    <col min="1" max="1" width="10.5703125" style="10" customWidth="1"/>
    <col min="2" max="2" width="36" style="10" customWidth="1"/>
    <col min="3" max="3" width="31.42578125" style="10" customWidth="1"/>
    <col min="4" max="4" width="9.5703125" style="10" customWidth="1"/>
    <col min="5" max="5" width="16" style="10" customWidth="1"/>
    <col min="6" max="6" width="14.42578125" style="10" customWidth="1"/>
    <col min="7" max="7" width="14.7109375" style="10" customWidth="1"/>
    <col min="8" max="8" width="0.140625" style="10" customWidth="1"/>
    <col min="9" max="9" width="9.28515625" hidden="1" customWidth="1"/>
    <col min="10" max="10" width="19.5703125" hidden="1" customWidth="1"/>
    <col min="11" max="11" width="23.140625" hidden="1" customWidth="1"/>
    <col min="12" max="12" width="27" hidden="1" customWidth="1"/>
    <col min="13" max="13" width="29.5703125" hidden="1" customWidth="1"/>
    <col min="14" max="14" width="34.140625" hidden="1" customWidth="1"/>
  </cols>
  <sheetData>
    <row r="1" spans="1:8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F4" s="44"/>
      <c r="G4" s="44"/>
      <c r="H4" s="44"/>
    </row>
    <row r="5" spans="1:8" ht="15.75" hidden="1" x14ac:dyDescent="0.25">
      <c r="A5" s="12"/>
      <c r="B5" s="12"/>
      <c r="C5" s="12"/>
      <c r="D5" s="12"/>
      <c r="F5" s="44"/>
      <c r="G5" s="44"/>
      <c r="H5" s="44"/>
    </row>
    <row r="6" spans="1:8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8" ht="15" hidden="1" x14ac:dyDescent="0.2">
      <c r="A7" s="12"/>
      <c r="B7" s="47"/>
      <c r="C7" s="47"/>
      <c r="D7" s="47"/>
      <c r="F7" s="45"/>
      <c r="G7" s="45"/>
      <c r="H7" s="45"/>
    </row>
    <row r="8" spans="1:8" ht="49.5" customHeight="1" thickBot="1" x14ac:dyDescent="0.25">
      <c r="A8" s="317" t="s">
        <v>376</v>
      </c>
      <c r="B8" s="324"/>
      <c r="C8" s="324"/>
      <c r="D8" s="324"/>
      <c r="E8" s="324"/>
      <c r="F8" s="324"/>
      <c r="G8" s="324"/>
      <c r="H8"/>
    </row>
    <row r="9" spans="1:8" ht="129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197</v>
      </c>
    </row>
    <row r="10" spans="1:8" ht="27" customHeight="1" x14ac:dyDescent="0.2">
      <c r="A10" s="332" t="s">
        <v>125</v>
      </c>
      <c r="B10" s="330" t="s">
        <v>298</v>
      </c>
      <c r="C10" s="166" t="s">
        <v>202</v>
      </c>
      <c r="D10" s="166">
        <f>1+0.6</f>
        <v>1.6</v>
      </c>
      <c r="E10" s="166">
        <f>D10*J31</f>
        <v>1368</v>
      </c>
      <c r="F10" s="166">
        <f>C31+C51+C41*35</f>
        <v>8606.6400000000012</v>
      </c>
      <c r="G10" s="85">
        <f t="shared" ref="G10:G17" si="0">E10+F10</f>
        <v>9974.6400000000012</v>
      </c>
    </row>
    <row r="11" spans="1:8" ht="27" customHeight="1" x14ac:dyDescent="0.2">
      <c r="A11" s="333"/>
      <c r="B11" s="319"/>
      <c r="C11" s="162" t="s">
        <v>203</v>
      </c>
      <c r="D11" s="162">
        <f>1+0.6</f>
        <v>1.6</v>
      </c>
      <c r="E11" s="162">
        <f>D11*J31</f>
        <v>1368</v>
      </c>
      <c r="F11" s="162">
        <f>C31+C51+C42*35</f>
        <v>7728.8399999999992</v>
      </c>
      <c r="G11" s="77">
        <f t="shared" si="0"/>
        <v>9096.84</v>
      </c>
    </row>
    <row r="12" spans="1:8" ht="27" customHeight="1" x14ac:dyDescent="0.2">
      <c r="A12" s="333"/>
      <c r="B12" s="165" t="s">
        <v>204</v>
      </c>
      <c r="C12" s="162" t="s">
        <v>273</v>
      </c>
      <c r="D12" s="162">
        <f>0.6</f>
        <v>0.6</v>
      </c>
      <c r="E12" s="162">
        <f>J31*D12</f>
        <v>513</v>
      </c>
      <c r="F12" s="162">
        <f>C38</f>
        <v>2059.08</v>
      </c>
      <c r="G12" s="77">
        <f>F12+E12</f>
        <v>2572.08</v>
      </c>
    </row>
    <row r="13" spans="1:8" ht="27" customHeight="1" x14ac:dyDescent="0.2">
      <c r="A13" s="333"/>
      <c r="B13" s="162" t="s">
        <v>299</v>
      </c>
      <c r="C13" s="162" t="s">
        <v>274</v>
      </c>
      <c r="D13" s="162">
        <f>0.8+0.2+0.6</f>
        <v>1.6</v>
      </c>
      <c r="E13" s="162">
        <f>D13*J31</f>
        <v>1368</v>
      </c>
      <c r="F13" s="162">
        <f>C32+C35</f>
        <v>3241.56</v>
      </c>
      <c r="G13" s="77">
        <f t="shared" si="0"/>
        <v>4609.5599999999995</v>
      </c>
    </row>
    <row r="14" spans="1:8" ht="27" customHeight="1" x14ac:dyDescent="0.2">
      <c r="A14" s="333"/>
      <c r="B14" s="162" t="s">
        <v>300</v>
      </c>
      <c r="C14" s="162" t="s">
        <v>295</v>
      </c>
      <c r="D14" s="162">
        <f>0.8+0.2+1.3+0.6</f>
        <v>2.9</v>
      </c>
      <c r="E14" s="162">
        <f>D14*J31</f>
        <v>2479.5</v>
      </c>
      <c r="F14" s="162">
        <f>C32+C37*6+C35</f>
        <v>5450.16</v>
      </c>
      <c r="G14" s="77">
        <f t="shared" si="0"/>
        <v>7929.66</v>
      </c>
    </row>
    <row r="15" spans="1:8" ht="27" customHeight="1" x14ac:dyDescent="0.2">
      <c r="A15" s="333"/>
      <c r="B15" s="331" t="s">
        <v>284</v>
      </c>
      <c r="C15" s="162" t="s">
        <v>252</v>
      </c>
      <c r="D15" s="162">
        <f>0.6+0.6</f>
        <v>1.2</v>
      </c>
      <c r="E15" s="162">
        <f>D15*J31</f>
        <v>1026</v>
      </c>
      <c r="F15" s="162">
        <f>C44*15</f>
        <v>3726</v>
      </c>
      <c r="G15" s="77">
        <f t="shared" si="0"/>
        <v>4752</v>
      </c>
    </row>
    <row r="16" spans="1:8" ht="27" customHeight="1" x14ac:dyDescent="0.2">
      <c r="A16" s="333"/>
      <c r="B16" s="319"/>
      <c r="C16" s="162" t="s">
        <v>253</v>
      </c>
      <c r="D16" s="162">
        <f>0.6+0.6</f>
        <v>1.2</v>
      </c>
      <c r="E16" s="162">
        <f>D16*J31</f>
        <v>1026</v>
      </c>
      <c r="F16" s="162">
        <f>C45*14</f>
        <v>13949.6</v>
      </c>
      <c r="G16" s="77">
        <f t="shared" si="0"/>
        <v>14975.6</v>
      </c>
    </row>
    <row r="17" spans="1:10" ht="27" customHeight="1" x14ac:dyDescent="0.2">
      <c r="A17" s="333"/>
      <c r="B17" s="162" t="s">
        <v>301</v>
      </c>
      <c r="C17" s="162" t="s">
        <v>41</v>
      </c>
      <c r="D17" s="162">
        <f>0.6+0.6</f>
        <v>1.2</v>
      </c>
      <c r="E17" s="162">
        <f>D17*J31</f>
        <v>1026</v>
      </c>
      <c r="F17" s="162">
        <f>C43*14</f>
        <v>3648.4000000000005</v>
      </c>
      <c r="G17" s="77">
        <f t="shared" si="0"/>
        <v>4674.4000000000005</v>
      </c>
      <c r="H17"/>
    </row>
    <row r="18" spans="1:10" ht="27" customHeight="1" x14ac:dyDescent="0.2">
      <c r="A18" s="333"/>
      <c r="B18" s="162" t="s">
        <v>286</v>
      </c>
      <c r="C18" s="162" t="s">
        <v>276</v>
      </c>
      <c r="D18" s="162">
        <f>0.7+0.6</f>
        <v>1.2999999999999998</v>
      </c>
      <c r="E18" s="162">
        <f>D18*J31</f>
        <v>1111.4999999999998</v>
      </c>
      <c r="F18" s="162">
        <f>C48*21+C50*20</f>
        <v>14617.32</v>
      </c>
      <c r="G18" s="77">
        <f>I20+F18</f>
        <v>14617.32</v>
      </c>
      <c r="H18"/>
    </row>
    <row r="19" spans="1:10" ht="27" customHeight="1" x14ac:dyDescent="0.2">
      <c r="A19" s="333"/>
      <c r="B19" s="162" t="s">
        <v>302</v>
      </c>
      <c r="C19" s="162" t="s">
        <v>277</v>
      </c>
      <c r="D19" s="162">
        <f>0.4+0.6</f>
        <v>1</v>
      </c>
      <c r="E19" s="162">
        <f>D19*J31</f>
        <v>855</v>
      </c>
      <c r="F19" s="162">
        <f>C36</f>
        <v>967.62</v>
      </c>
      <c r="G19" s="77">
        <f t="shared" ref="G19:G27" si="1">E19+F19</f>
        <v>1822.62</v>
      </c>
      <c r="H19"/>
    </row>
    <row r="20" spans="1:10" ht="27" customHeight="1" x14ac:dyDescent="0.2">
      <c r="A20" s="333"/>
      <c r="B20" s="162" t="s">
        <v>288</v>
      </c>
      <c r="C20" s="162" t="s">
        <v>168</v>
      </c>
      <c r="D20" s="162">
        <f>0.4+0.6</f>
        <v>1</v>
      </c>
      <c r="E20" s="162">
        <f>D20*J31</f>
        <v>855</v>
      </c>
      <c r="F20" s="162">
        <f>C33</f>
        <v>7408.86</v>
      </c>
      <c r="G20" s="77">
        <f t="shared" si="1"/>
        <v>8263.86</v>
      </c>
      <c r="H20"/>
    </row>
    <row r="21" spans="1:10" ht="27" customHeight="1" x14ac:dyDescent="0.2">
      <c r="A21" s="333"/>
      <c r="B21" s="162" t="s">
        <v>289</v>
      </c>
      <c r="C21" s="162" t="s">
        <v>278</v>
      </c>
      <c r="D21" s="17">
        <f>0.9+0.6+0.6</f>
        <v>2.1</v>
      </c>
      <c r="E21" s="161">
        <f>D21*J31</f>
        <v>1795.5</v>
      </c>
      <c r="F21" s="162">
        <f>C39</f>
        <v>4507.68</v>
      </c>
      <c r="G21" s="77">
        <f t="shared" si="1"/>
        <v>6303.18</v>
      </c>
      <c r="H21"/>
    </row>
    <row r="22" spans="1:10" ht="27" customHeight="1" x14ac:dyDescent="0.2">
      <c r="A22" s="97"/>
      <c r="B22" s="162" t="s">
        <v>290</v>
      </c>
      <c r="C22" s="162" t="s">
        <v>279</v>
      </c>
      <c r="D22" s="17">
        <f>1+0.6+0.6</f>
        <v>2.2000000000000002</v>
      </c>
      <c r="E22" s="162">
        <f>D22*J31</f>
        <v>1881.0000000000002</v>
      </c>
      <c r="F22" s="162">
        <f>C39</f>
        <v>4507.68</v>
      </c>
      <c r="G22" s="77">
        <f t="shared" si="1"/>
        <v>6388.68</v>
      </c>
      <c r="H22"/>
    </row>
    <row r="23" spans="1:10" ht="27" customHeight="1" x14ac:dyDescent="0.2">
      <c r="A23" s="97"/>
      <c r="B23" s="162" t="s">
        <v>303</v>
      </c>
      <c r="C23" s="162" t="s">
        <v>279</v>
      </c>
      <c r="D23" s="17">
        <f>0.9+0.6+0.6</f>
        <v>2.1</v>
      </c>
      <c r="E23" s="162">
        <f>D23*J31</f>
        <v>1795.5</v>
      </c>
      <c r="F23" s="162">
        <f>C39</f>
        <v>4507.68</v>
      </c>
      <c r="G23" s="77">
        <f>F23+E23</f>
        <v>6303.18</v>
      </c>
      <c r="H23"/>
    </row>
    <row r="24" spans="1:10" ht="40.5" customHeight="1" x14ac:dyDescent="0.2">
      <c r="A24" s="160" t="s">
        <v>14</v>
      </c>
      <c r="B24" s="162" t="s">
        <v>291</v>
      </c>
      <c r="C24" s="162" t="s">
        <v>296</v>
      </c>
      <c r="D24" s="162">
        <f>1.5+0.3+0.7+0.6</f>
        <v>3.1</v>
      </c>
      <c r="E24" s="162">
        <f>D24*J31</f>
        <v>2650.5</v>
      </c>
      <c r="F24" s="162">
        <f>C34+C49*3</f>
        <v>1626.57</v>
      </c>
      <c r="G24" s="77">
        <f t="shared" si="1"/>
        <v>4277.07</v>
      </c>
      <c r="H24"/>
    </row>
    <row r="25" spans="1:10" ht="40.5" customHeight="1" x14ac:dyDescent="0.2">
      <c r="A25" s="297" t="s">
        <v>16</v>
      </c>
      <c r="B25" s="162" t="s">
        <v>293</v>
      </c>
      <c r="C25" s="162" t="s">
        <v>17</v>
      </c>
      <c r="D25" s="162">
        <f>1.5+0.3+0.3+0.7+0.6</f>
        <v>3.4</v>
      </c>
      <c r="E25" s="162">
        <f>D25*J31</f>
        <v>2907</v>
      </c>
      <c r="F25" s="162">
        <f>C36+C34+C49*3</f>
        <v>2594.19</v>
      </c>
      <c r="G25" s="77">
        <f t="shared" si="1"/>
        <v>5501.1900000000005</v>
      </c>
      <c r="H25"/>
    </row>
    <row r="26" spans="1:10" ht="27" customHeight="1" x14ac:dyDescent="0.2">
      <c r="A26" s="298"/>
      <c r="B26" s="162" t="s">
        <v>297</v>
      </c>
      <c r="C26" s="162" t="s">
        <v>255</v>
      </c>
      <c r="D26" s="162">
        <f>5.1+5.4</f>
        <v>10.5</v>
      </c>
      <c r="E26" s="162">
        <f>D26*J31</f>
        <v>8977.5</v>
      </c>
      <c r="F26" s="162">
        <f>C40*4</f>
        <v>11585.76</v>
      </c>
      <c r="G26" s="77">
        <f t="shared" si="1"/>
        <v>20563.260000000002</v>
      </c>
      <c r="H26"/>
    </row>
    <row r="27" spans="1:10" ht="72" customHeight="1" thickBot="1" x14ac:dyDescent="0.25">
      <c r="A27" s="163" t="s">
        <v>249</v>
      </c>
      <c r="B27" s="33" t="s">
        <v>207</v>
      </c>
      <c r="C27" s="33" t="s">
        <v>18</v>
      </c>
      <c r="D27" s="33">
        <f>1.5+0.6+0.3+0.7+0.6</f>
        <v>3.6999999999999997</v>
      </c>
      <c r="E27" s="33">
        <f>D27*J31</f>
        <v>3163.4999999999995</v>
      </c>
      <c r="F27" s="33">
        <f>C48*21+C50*20+C34+C49*3+C33+C47</f>
        <v>24278.67</v>
      </c>
      <c r="G27" s="86">
        <f t="shared" si="1"/>
        <v>27442.17</v>
      </c>
      <c r="H27"/>
    </row>
    <row r="28" spans="1:10" x14ac:dyDescent="0.2">
      <c r="A28" s="30"/>
      <c r="B28" s="17"/>
      <c r="C28" s="17"/>
      <c r="D28" s="17"/>
      <c r="E28" s="17"/>
      <c r="F28" s="17"/>
      <c r="G28" s="17"/>
      <c r="H28"/>
    </row>
    <row r="29" spans="1:10" ht="13.5" thickBot="1" x14ac:dyDescent="0.25">
      <c r="A29" s="30"/>
      <c r="D29" s="17"/>
      <c r="E29" s="17"/>
      <c r="F29" s="17"/>
      <c r="G29" s="17"/>
      <c r="H29"/>
    </row>
    <row r="30" spans="1:10" ht="16.5" thickBot="1" x14ac:dyDescent="0.25">
      <c r="A30" s="30"/>
      <c r="B30" s="90" t="s">
        <v>49</v>
      </c>
      <c r="C30" s="112" t="s">
        <v>121</v>
      </c>
      <c r="D30" s="17"/>
      <c r="E30" s="17"/>
      <c r="F30" s="17"/>
      <c r="G30" s="17"/>
      <c r="H30"/>
    </row>
    <row r="31" spans="1:10" ht="26.25" thickBot="1" x14ac:dyDescent="0.25">
      <c r="A31" s="30"/>
      <c r="B31" s="143" t="s">
        <v>155</v>
      </c>
      <c r="C31" s="125">
        <v>798.3</v>
      </c>
      <c r="D31" s="17"/>
      <c r="E31" s="17"/>
      <c r="H31"/>
      <c r="I31" s="118" t="s">
        <v>166</v>
      </c>
      <c r="J31" s="91">
        <v>855</v>
      </c>
    </row>
    <row r="32" spans="1:10" ht="14.25" x14ac:dyDescent="0.2">
      <c r="A32" s="30"/>
      <c r="B32" s="120" t="s">
        <v>449</v>
      </c>
      <c r="C32" s="149">
        <v>889.08</v>
      </c>
      <c r="D32" s="17"/>
      <c r="E32" s="17"/>
      <c r="F32" s="17"/>
      <c r="G32" s="17"/>
      <c r="H32"/>
    </row>
    <row r="33" spans="1:8" ht="14.25" x14ac:dyDescent="0.2">
      <c r="A33" s="30"/>
      <c r="B33" s="120" t="s">
        <v>450</v>
      </c>
      <c r="C33" s="149">
        <v>7408.86</v>
      </c>
      <c r="D33" s="17"/>
      <c r="E33" s="17"/>
      <c r="F33" s="17"/>
      <c r="G33" s="17"/>
      <c r="H33"/>
    </row>
    <row r="34" spans="1:8" ht="14.25" x14ac:dyDescent="0.2">
      <c r="A34" s="74"/>
      <c r="B34" s="120" t="s">
        <v>416</v>
      </c>
      <c r="C34" s="149">
        <v>630.12</v>
      </c>
      <c r="D34" s="138"/>
      <c r="E34" s="74"/>
      <c r="F34" s="74"/>
      <c r="G34" s="74"/>
      <c r="H34"/>
    </row>
    <row r="35" spans="1:8" ht="14.25" x14ac:dyDescent="0.2">
      <c r="B35" s="120" t="s">
        <v>458</v>
      </c>
      <c r="C35" s="126">
        <v>2352.48</v>
      </c>
      <c r="D35" s="142"/>
      <c r="H35"/>
    </row>
    <row r="36" spans="1:8" ht="14.25" x14ac:dyDescent="0.2">
      <c r="B36" s="120" t="s">
        <v>459</v>
      </c>
      <c r="C36" s="126">
        <v>967.62</v>
      </c>
      <c r="D36" s="12"/>
      <c r="H36"/>
    </row>
    <row r="37" spans="1:8" ht="14.25" x14ac:dyDescent="0.2">
      <c r="B37" s="130" t="s">
        <v>460</v>
      </c>
      <c r="C37" s="197">
        <v>368.1</v>
      </c>
      <c r="D37" s="142"/>
      <c r="H37"/>
    </row>
    <row r="38" spans="1:8" ht="14.25" x14ac:dyDescent="0.2">
      <c r="B38" s="121" t="s">
        <v>472</v>
      </c>
      <c r="C38" s="148">
        <v>2059.08</v>
      </c>
      <c r="D38" s="142"/>
      <c r="H38"/>
    </row>
    <row r="39" spans="1:8" ht="14.25" x14ac:dyDescent="0.2">
      <c r="B39" s="121" t="s">
        <v>468</v>
      </c>
      <c r="C39" s="149">
        <v>4507.68</v>
      </c>
      <c r="D39" s="142"/>
      <c r="H39"/>
    </row>
    <row r="40" spans="1:8" ht="14.25" x14ac:dyDescent="0.2">
      <c r="B40" s="121" t="s">
        <v>470</v>
      </c>
      <c r="C40" s="144">
        <v>2896.44</v>
      </c>
      <c r="D40" s="142"/>
      <c r="H40"/>
    </row>
    <row r="41" spans="1:8" ht="14.25" x14ac:dyDescent="0.2">
      <c r="B41" s="120" t="s">
        <v>431</v>
      </c>
      <c r="C41" s="126">
        <v>213.24</v>
      </c>
      <c r="D41" s="142"/>
      <c r="H41"/>
    </row>
    <row r="42" spans="1:8" ht="14.25" x14ac:dyDescent="0.2">
      <c r="B42" s="120" t="s">
        <v>451</v>
      </c>
      <c r="C42" s="135">
        <v>188.16</v>
      </c>
      <c r="D42" s="142"/>
      <c r="H42"/>
    </row>
    <row r="43" spans="1:8" ht="14.25" x14ac:dyDescent="0.2">
      <c r="B43" s="120" t="s">
        <v>452</v>
      </c>
      <c r="C43" s="135">
        <v>260.60000000000002</v>
      </c>
      <c r="D43" s="142"/>
      <c r="H43"/>
    </row>
    <row r="44" spans="1:8" ht="14.25" x14ac:dyDescent="0.2">
      <c r="B44" s="120" t="s">
        <v>461</v>
      </c>
      <c r="C44" s="144">
        <v>248.4</v>
      </c>
      <c r="D44" s="142"/>
      <c r="H44"/>
    </row>
    <row r="45" spans="1:8" ht="14.25" x14ac:dyDescent="0.2">
      <c r="B45" s="120" t="s">
        <v>462</v>
      </c>
      <c r="C45" s="144">
        <v>996.4</v>
      </c>
      <c r="D45" s="142"/>
      <c r="H45"/>
    </row>
    <row r="46" spans="1:8" ht="14.25" x14ac:dyDescent="0.2">
      <c r="B46" s="120" t="s">
        <v>466</v>
      </c>
      <c r="C46" s="144">
        <v>1072.2</v>
      </c>
      <c r="D46" s="142"/>
      <c r="H46"/>
    </row>
    <row r="47" spans="1:8" ht="14.25" x14ac:dyDescent="0.2">
      <c r="B47" s="130" t="s">
        <v>435</v>
      </c>
      <c r="C47" s="126">
        <v>625.91999999999996</v>
      </c>
      <c r="D47" s="142"/>
      <c r="H47"/>
    </row>
    <row r="48" spans="1:8" ht="14.25" x14ac:dyDescent="0.2">
      <c r="B48" s="130" t="s">
        <v>436</v>
      </c>
      <c r="C48" s="126">
        <v>681.12</v>
      </c>
      <c r="D48" s="142"/>
      <c r="H48"/>
    </row>
    <row r="49" spans="1:8" ht="14.25" x14ac:dyDescent="0.2">
      <c r="B49" s="120" t="s">
        <v>464</v>
      </c>
      <c r="C49" s="144">
        <v>332.15</v>
      </c>
      <c r="D49" s="142"/>
      <c r="H49"/>
    </row>
    <row r="50" spans="1:8" ht="14.25" x14ac:dyDescent="0.2">
      <c r="A50"/>
      <c r="B50" s="130" t="s">
        <v>438</v>
      </c>
      <c r="C50" s="126">
        <v>15.69</v>
      </c>
      <c r="D50" s="142"/>
      <c r="E50"/>
      <c r="F50"/>
      <c r="G50"/>
      <c r="H50"/>
    </row>
    <row r="51" spans="1:8" ht="15" thickBot="1" x14ac:dyDescent="0.25">
      <c r="A51"/>
      <c r="B51" s="155" t="s">
        <v>445</v>
      </c>
      <c r="C51" s="145">
        <v>344.94</v>
      </c>
      <c r="D51" s="142"/>
      <c r="E51"/>
      <c r="F51"/>
      <c r="G51"/>
      <c r="H51"/>
    </row>
  </sheetData>
  <sheetProtection algorithmName="SHA-512" hashValue="Ipe7g4P/mjCDYKXbvAbzY9n0eNcRNW9ybvJKaFoF9JjpUFz/OLYZRVDGn4URI8IgUIiWge1UEVpSA0an3+4IEA==" saltValue="35oppeHa0550FHrQyNHaJQ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3">
      <selection activeCell="B54" sqref="B54"/>
      <colBreaks count="1" manualBreakCount="1">
        <brk id="8" min="7" max="50" man="1"/>
      </colBreaks>
      <pageMargins left="0.7" right="0.7" top="0.75" bottom="0.75" header="0.3" footer="0.3"/>
      <pageSetup paperSize="9" scale="60" orientation="portrait" r:id="rId1"/>
    </customSheetView>
  </customSheetViews>
  <mergeCells count="5">
    <mergeCell ref="A10:A21"/>
    <mergeCell ref="B10:B11"/>
    <mergeCell ref="B15:B16"/>
    <mergeCell ref="A25:A26"/>
    <mergeCell ref="A8:G8"/>
  </mergeCells>
  <pageMargins left="0.7" right="0.7" top="0.75" bottom="0.75" header="0.3" footer="0.3"/>
  <pageSetup paperSize="9" scale="60" orientation="portrait" r:id="rId2"/>
  <colBreaks count="1" manualBreakCount="1">
    <brk id="8" min="7" max="5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20" workbookViewId="0">
      <selection activeCell="B55" sqref="B55"/>
    </sheetView>
  </sheetViews>
  <sheetFormatPr defaultRowHeight="12.75" x14ac:dyDescent="0.2"/>
  <cols>
    <col min="1" max="1" width="10.5703125" style="10" customWidth="1"/>
    <col min="2" max="2" width="36" style="10" customWidth="1"/>
    <col min="3" max="3" width="31.42578125" style="10" customWidth="1"/>
    <col min="4" max="4" width="9.5703125" style="10" customWidth="1"/>
    <col min="5" max="5" width="16" style="10" customWidth="1"/>
    <col min="6" max="6" width="14.42578125" style="10" customWidth="1"/>
    <col min="7" max="7" width="14.85546875" style="10" customWidth="1"/>
    <col min="8" max="8" width="12.140625" style="10" hidden="1" customWidth="1"/>
    <col min="9" max="9" width="13.28515625" hidden="1" customWidth="1"/>
    <col min="10" max="10" width="2.5703125" hidden="1" customWidth="1"/>
    <col min="11" max="11" width="17.5703125" hidden="1" customWidth="1"/>
    <col min="12" max="12" width="22.85546875" hidden="1" customWidth="1"/>
    <col min="13" max="13" width="24.85546875" hidden="1" customWidth="1"/>
    <col min="14" max="14" width="37.5703125" hidden="1" customWidth="1"/>
  </cols>
  <sheetData>
    <row r="1" spans="1:8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F4" s="44"/>
      <c r="G4" s="44"/>
      <c r="H4" s="44"/>
    </row>
    <row r="5" spans="1:8" ht="15.75" hidden="1" x14ac:dyDescent="0.25">
      <c r="A5" s="12"/>
      <c r="B5" s="12"/>
      <c r="C5" s="12"/>
      <c r="D5" s="12"/>
      <c r="F5" s="44"/>
      <c r="G5" s="44"/>
      <c r="H5" s="44"/>
    </row>
    <row r="6" spans="1:8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8" ht="15" hidden="1" x14ac:dyDescent="0.2">
      <c r="A7" s="12"/>
      <c r="B7" s="47"/>
      <c r="C7" s="47"/>
      <c r="D7" s="47"/>
      <c r="F7" s="45"/>
      <c r="G7" s="45"/>
      <c r="H7" s="45"/>
    </row>
    <row r="8" spans="1:8" ht="49.5" customHeight="1" thickBot="1" x14ac:dyDescent="0.25">
      <c r="A8" s="317" t="s">
        <v>377</v>
      </c>
      <c r="B8" s="324"/>
      <c r="C8" s="324"/>
      <c r="D8" s="324"/>
      <c r="E8" s="324"/>
      <c r="F8" s="324"/>
      <c r="G8" s="324"/>
      <c r="H8"/>
    </row>
    <row r="9" spans="1:8" ht="32.25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198</v>
      </c>
    </row>
    <row r="10" spans="1:8" ht="27" customHeight="1" x14ac:dyDescent="0.2">
      <c r="A10" s="332" t="s">
        <v>125</v>
      </c>
      <c r="B10" s="330" t="s">
        <v>298</v>
      </c>
      <c r="C10" s="166" t="s">
        <v>202</v>
      </c>
      <c r="D10" s="166">
        <f>1+0.6</f>
        <v>1.6</v>
      </c>
      <c r="E10" s="166">
        <f>D10*J31</f>
        <v>1368</v>
      </c>
      <c r="F10" s="166">
        <f>C31+C51+C41*35</f>
        <v>8793.24</v>
      </c>
      <c r="G10" s="85">
        <f t="shared" ref="G10:G17" si="0">E10+F10</f>
        <v>10161.24</v>
      </c>
    </row>
    <row r="11" spans="1:8" ht="27" customHeight="1" x14ac:dyDescent="0.2">
      <c r="A11" s="333"/>
      <c r="B11" s="319"/>
      <c r="C11" s="162" t="s">
        <v>203</v>
      </c>
      <c r="D11" s="162">
        <f>1+0.6</f>
        <v>1.6</v>
      </c>
      <c r="E11" s="162">
        <f>D11*J31</f>
        <v>1368</v>
      </c>
      <c r="F11" s="162">
        <f>C31+C51+C42*35</f>
        <v>7915.44</v>
      </c>
      <c r="G11" s="77">
        <f t="shared" si="0"/>
        <v>9283.4399999999987</v>
      </c>
    </row>
    <row r="12" spans="1:8" ht="27" customHeight="1" x14ac:dyDescent="0.2">
      <c r="A12" s="333"/>
      <c r="B12" s="165" t="s">
        <v>204</v>
      </c>
      <c r="C12" s="162" t="s">
        <v>273</v>
      </c>
      <c r="D12" s="162">
        <f>0.6</f>
        <v>0.6</v>
      </c>
      <c r="E12" s="162">
        <f>J31*D12</f>
        <v>513</v>
      </c>
      <c r="F12" s="162">
        <f>C38</f>
        <v>2059.08</v>
      </c>
      <c r="G12" s="77">
        <f>F12+E12</f>
        <v>2572.08</v>
      </c>
    </row>
    <row r="13" spans="1:8" ht="27" customHeight="1" x14ac:dyDescent="0.2">
      <c r="A13" s="333"/>
      <c r="B13" s="162" t="s">
        <v>282</v>
      </c>
      <c r="C13" s="162" t="s">
        <v>274</v>
      </c>
      <c r="D13" s="162">
        <f>0.8+0.2+0.6</f>
        <v>1.6</v>
      </c>
      <c r="E13" s="162">
        <f>D13*J31</f>
        <v>1368</v>
      </c>
      <c r="F13" s="162">
        <f>C32+C35</f>
        <v>3241.56</v>
      </c>
      <c r="G13" s="77">
        <f t="shared" si="0"/>
        <v>4609.5599999999995</v>
      </c>
    </row>
    <row r="14" spans="1:8" ht="27" customHeight="1" x14ac:dyDescent="0.2">
      <c r="A14" s="333"/>
      <c r="B14" s="162" t="s">
        <v>305</v>
      </c>
      <c r="C14" s="162" t="s">
        <v>295</v>
      </c>
      <c r="D14" s="162">
        <f>0.8+0.2+1.3+0.6</f>
        <v>2.9</v>
      </c>
      <c r="E14" s="162">
        <f>D14*J31</f>
        <v>2479.5</v>
      </c>
      <c r="F14" s="162">
        <f>C32+C37*6+C35</f>
        <v>5450.16</v>
      </c>
      <c r="G14" s="77">
        <f t="shared" si="0"/>
        <v>7929.66</v>
      </c>
    </row>
    <row r="15" spans="1:8" ht="27" customHeight="1" x14ac:dyDescent="0.2">
      <c r="A15" s="333"/>
      <c r="B15" s="331" t="s">
        <v>284</v>
      </c>
      <c r="C15" s="162" t="s">
        <v>252</v>
      </c>
      <c r="D15" s="162">
        <f>0.6+0.6</f>
        <v>1.2</v>
      </c>
      <c r="E15" s="162">
        <f>D15*J31</f>
        <v>1026</v>
      </c>
      <c r="F15" s="162">
        <f>C44*15</f>
        <v>3726</v>
      </c>
      <c r="G15" s="77">
        <f t="shared" si="0"/>
        <v>4752</v>
      </c>
    </row>
    <row r="16" spans="1:8" ht="27" customHeight="1" x14ac:dyDescent="0.2">
      <c r="A16" s="333"/>
      <c r="B16" s="319"/>
      <c r="C16" s="162" t="s">
        <v>253</v>
      </c>
      <c r="D16" s="162">
        <f>0.6+0.6</f>
        <v>1.2</v>
      </c>
      <c r="E16" s="162">
        <f>D16*J31</f>
        <v>1026</v>
      </c>
      <c r="F16" s="162">
        <f>C45*14</f>
        <v>13949.6</v>
      </c>
      <c r="G16" s="77">
        <f t="shared" si="0"/>
        <v>14975.6</v>
      </c>
    </row>
    <row r="17" spans="1:10" ht="27" customHeight="1" x14ac:dyDescent="0.2">
      <c r="A17" s="333"/>
      <c r="B17" s="162" t="s">
        <v>306</v>
      </c>
      <c r="C17" s="162" t="s">
        <v>208</v>
      </c>
      <c r="D17" s="162">
        <f>2+0.6</f>
        <v>2.6</v>
      </c>
      <c r="E17" s="162">
        <f>D17*J31</f>
        <v>2223</v>
      </c>
      <c r="F17" s="162">
        <f>C43*18</f>
        <v>4690.8</v>
      </c>
      <c r="G17" s="77">
        <f t="shared" si="0"/>
        <v>6913.8</v>
      </c>
      <c r="H17"/>
    </row>
    <row r="18" spans="1:10" ht="27" customHeight="1" x14ac:dyDescent="0.2">
      <c r="A18" s="333"/>
      <c r="B18" s="162" t="s">
        <v>286</v>
      </c>
      <c r="C18" s="162" t="s">
        <v>276</v>
      </c>
      <c r="D18" s="162">
        <f>0.7+0.6</f>
        <v>1.2999999999999998</v>
      </c>
      <c r="E18" s="162">
        <f>D18*J31</f>
        <v>1111.4999999999998</v>
      </c>
      <c r="F18" s="162">
        <f>C48*21+C50*20</f>
        <v>14617.32</v>
      </c>
      <c r="G18" s="77">
        <f>I20+F18</f>
        <v>14617.32</v>
      </c>
      <c r="H18"/>
    </row>
    <row r="19" spans="1:10" ht="27" customHeight="1" x14ac:dyDescent="0.2">
      <c r="A19" s="333"/>
      <c r="B19" s="162" t="s">
        <v>302</v>
      </c>
      <c r="C19" s="162" t="s">
        <v>277</v>
      </c>
      <c r="D19" s="162">
        <f>0.4+0.6</f>
        <v>1</v>
      </c>
      <c r="E19" s="162">
        <f>D19*J31</f>
        <v>855</v>
      </c>
      <c r="F19" s="162">
        <f>C36</f>
        <v>967.62</v>
      </c>
      <c r="G19" s="77">
        <f t="shared" ref="G19:G27" si="1">E19+F19</f>
        <v>1822.62</v>
      </c>
      <c r="H19"/>
    </row>
    <row r="20" spans="1:10" ht="27" customHeight="1" x14ac:dyDescent="0.2">
      <c r="A20" s="333"/>
      <c r="B20" s="162" t="s">
        <v>288</v>
      </c>
      <c r="C20" s="162" t="s">
        <v>168</v>
      </c>
      <c r="D20" s="162">
        <f>0.4+0.6</f>
        <v>1</v>
      </c>
      <c r="E20" s="162">
        <f>D20*J31</f>
        <v>855</v>
      </c>
      <c r="F20" s="162">
        <f>C33</f>
        <v>7408.86</v>
      </c>
      <c r="G20" s="77">
        <f t="shared" si="1"/>
        <v>8263.86</v>
      </c>
      <c r="H20"/>
    </row>
    <row r="21" spans="1:10" ht="27" customHeight="1" x14ac:dyDescent="0.2">
      <c r="A21" s="333"/>
      <c r="B21" s="162" t="s">
        <v>289</v>
      </c>
      <c r="C21" s="162" t="s">
        <v>278</v>
      </c>
      <c r="D21" s="17">
        <f>0.9+0.6+0.6</f>
        <v>2.1</v>
      </c>
      <c r="E21" s="161">
        <f>D21*J31</f>
        <v>1795.5</v>
      </c>
      <c r="F21" s="162">
        <f>C39</f>
        <v>4507.68</v>
      </c>
      <c r="G21" s="77">
        <f t="shared" si="1"/>
        <v>6303.18</v>
      </c>
      <c r="H21"/>
    </row>
    <row r="22" spans="1:10" ht="27" customHeight="1" x14ac:dyDescent="0.2">
      <c r="A22" s="97"/>
      <c r="B22" s="162" t="s">
        <v>290</v>
      </c>
      <c r="C22" s="162" t="s">
        <v>279</v>
      </c>
      <c r="D22" s="17">
        <f>1+0.6+0.6</f>
        <v>2.2000000000000002</v>
      </c>
      <c r="E22" s="162">
        <f>D22*J31</f>
        <v>1881.0000000000002</v>
      </c>
      <c r="F22" s="162">
        <f>C39</f>
        <v>4507.68</v>
      </c>
      <c r="G22" s="77">
        <f t="shared" si="1"/>
        <v>6388.68</v>
      </c>
      <c r="H22"/>
    </row>
    <row r="23" spans="1:10" ht="27" customHeight="1" x14ac:dyDescent="0.2">
      <c r="A23" s="97"/>
      <c r="B23" s="162" t="s">
        <v>303</v>
      </c>
      <c r="C23" s="162" t="s">
        <v>279</v>
      </c>
      <c r="D23" s="17">
        <f>1+0.6+0.6</f>
        <v>2.2000000000000002</v>
      </c>
      <c r="E23" s="162">
        <f>D23*J31</f>
        <v>1881.0000000000002</v>
      </c>
      <c r="F23" s="162">
        <f>C39</f>
        <v>4507.68</v>
      </c>
      <c r="G23" s="77">
        <f>F23+E23</f>
        <v>6388.68</v>
      </c>
      <c r="H23"/>
    </row>
    <row r="24" spans="1:10" ht="40.5" customHeight="1" x14ac:dyDescent="0.2">
      <c r="A24" s="160" t="s">
        <v>14</v>
      </c>
      <c r="B24" s="162" t="s">
        <v>307</v>
      </c>
      <c r="C24" s="162" t="s">
        <v>281</v>
      </c>
      <c r="D24" s="162">
        <f>1.6+0.3+0.7+0.6</f>
        <v>3.2</v>
      </c>
      <c r="E24" s="162">
        <f>D24*J31</f>
        <v>2736</v>
      </c>
      <c r="F24" s="162">
        <f>C34+C49*3</f>
        <v>1626.57</v>
      </c>
      <c r="G24" s="77">
        <f t="shared" si="1"/>
        <v>4362.57</v>
      </c>
      <c r="H24"/>
    </row>
    <row r="25" spans="1:10" ht="40.5" customHeight="1" x14ac:dyDescent="0.2">
      <c r="A25" s="297" t="s">
        <v>16</v>
      </c>
      <c r="B25" s="162" t="s">
        <v>206</v>
      </c>
      <c r="C25" s="162" t="s">
        <v>17</v>
      </c>
      <c r="D25" s="162">
        <f>1.6+0.3+0.3+0.7+0.6</f>
        <v>3.5000000000000004</v>
      </c>
      <c r="E25" s="162">
        <f>D25*J31</f>
        <v>2992.5000000000005</v>
      </c>
      <c r="F25" s="162">
        <f>C36+C34+C49*3</f>
        <v>2594.19</v>
      </c>
      <c r="G25" s="77">
        <f t="shared" si="1"/>
        <v>5586.6900000000005</v>
      </c>
      <c r="H25"/>
    </row>
    <row r="26" spans="1:10" ht="27" customHeight="1" x14ac:dyDescent="0.2">
      <c r="A26" s="298"/>
      <c r="B26" s="162" t="s">
        <v>304</v>
      </c>
      <c r="C26" s="162" t="s">
        <v>255</v>
      </c>
      <c r="D26" s="162">
        <f>5.1</f>
        <v>5.0999999999999996</v>
      </c>
      <c r="E26" s="162">
        <f>D26*J31</f>
        <v>4360.5</v>
      </c>
      <c r="F26" s="162">
        <f>C40*2</f>
        <v>5792.88</v>
      </c>
      <c r="G26" s="77">
        <f t="shared" si="1"/>
        <v>10153.380000000001</v>
      </c>
      <c r="H26"/>
    </row>
    <row r="27" spans="1:10" ht="72" customHeight="1" thickBot="1" x14ac:dyDescent="0.25">
      <c r="A27" s="163" t="s">
        <v>249</v>
      </c>
      <c r="B27" s="33" t="s">
        <v>207</v>
      </c>
      <c r="C27" s="33" t="s">
        <v>18</v>
      </c>
      <c r="D27" s="33">
        <f>1.6+0.6+0.3+0.7+0.6</f>
        <v>3.8000000000000003</v>
      </c>
      <c r="E27" s="33">
        <f>D27*J31</f>
        <v>3249.0000000000005</v>
      </c>
      <c r="F27" s="33">
        <f>C48*21+C50*20+C34+C49*3+C33+C47</f>
        <v>24278.67</v>
      </c>
      <c r="G27" s="86">
        <f t="shared" si="1"/>
        <v>27527.67</v>
      </c>
      <c r="H27"/>
    </row>
    <row r="28" spans="1:10" x14ac:dyDescent="0.2">
      <c r="A28" s="30"/>
      <c r="B28" s="17"/>
      <c r="C28" s="17"/>
      <c r="D28" s="17"/>
      <c r="E28" s="17"/>
      <c r="F28" s="17"/>
      <c r="G28" s="17"/>
      <c r="H28"/>
    </row>
    <row r="29" spans="1:10" ht="13.5" thickBot="1" x14ac:dyDescent="0.25">
      <c r="A29" s="30"/>
      <c r="D29" s="17"/>
      <c r="E29" s="17"/>
      <c r="F29" s="17"/>
      <c r="G29" s="17"/>
      <c r="H29"/>
    </row>
    <row r="30" spans="1:10" ht="16.5" thickBot="1" x14ac:dyDescent="0.25">
      <c r="A30" s="30"/>
      <c r="B30" s="90" t="s">
        <v>49</v>
      </c>
      <c r="C30" s="112" t="s">
        <v>121</v>
      </c>
      <c r="D30" s="17"/>
      <c r="E30" s="17"/>
      <c r="F30" s="17"/>
      <c r="G30" s="17"/>
      <c r="H30"/>
    </row>
    <row r="31" spans="1:10" ht="15" thickBot="1" x14ac:dyDescent="0.25">
      <c r="A31" s="30"/>
      <c r="B31" s="143" t="s">
        <v>155</v>
      </c>
      <c r="C31" s="125">
        <v>984.9</v>
      </c>
      <c r="D31" s="17"/>
      <c r="E31" s="17"/>
      <c r="H31"/>
      <c r="I31" s="118" t="s">
        <v>166</v>
      </c>
      <c r="J31" s="91">
        <v>855</v>
      </c>
    </row>
    <row r="32" spans="1:10" ht="14.25" x14ac:dyDescent="0.2">
      <c r="A32" s="30"/>
      <c r="B32" s="120" t="s">
        <v>449</v>
      </c>
      <c r="C32" s="149">
        <v>889.08</v>
      </c>
      <c r="D32" s="17"/>
      <c r="E32" s="17"/>
      <c r="F32" s="17"/>
      <c r="G32" s="17"/>
      <c r="H32"/>
    </row>
    <row r="33" spans="1:8" ht="14.25" x14ac:dyDescent="0.2">
      <c r="A33" s="30"/>
      <c r="B33" s="120" t="s">
        <v>450</v>
      </c>
      <c r="C33" s="149">
        <v>7408.86</v>
      </c>
      <c r="D33" s="17"/>
      <c r="E33" s="17"/>
      <c r="F33" s="17"/>
      <c r="G33" s="17"/>
      <c r="H33"/>
    </row>
    <row r="34" spans="1:8" ht="14.25" x14ac:dyDescent="0.2">
      <c r="A34" s="74"/>
      <c r="B34" s="120" t="s">
        <v>416</v>
      </c>
      <c r="C34" s="149">
        <v>630.12</v>
      </c>
      <c r="D34" s="138"/>
      <c r="E34" s="74"/>
      <c r="F34" s="74"/>
      <c r="G34" s="74"/>
      <c r="H34"/>
    </row>
    <row r="35" spans="1:8" ht="14.25" x14ac:dyDescent="0.2">
      <c r="B35" s="120" t="s">
        <v>458</v>
      </c>
      <c r="C35" s="126">
        <v>2352.48</v>
      </c>
      <c r="D35" s="142"/>
      <c r="H35"/>
    </row>
    <row r="36" spans="1:8" ht="14.25" x14ac:dyDescent="0.2">
      <c r="B36" s="120" t="s">
        <v>459</v>
      </c>
      <c r="C36" s="126">
        <v>967.62</v>
      </c>
      <c r="D36" s="12"/>
      <c r="H36"/>
    </row>
    <row r="37" spans="1:8" ht="14.25" x14ac:dyDescent="0.2">
      <c r="B37" s="130" t="s">
        <v>460</v>
      </c>
      <c r="C37" s="197">
        <v>368.1</v>
      </c>
      <c r="D37" s="142"/>
      <c r="H37"/>
    </row>
    <row r="38" spans="1:8" ht="14.25" x14ac:dyDescent="0.2">
      <c r="B38" s="121" t="s">
        <v>472</v>
      </c>
      <c r="C38" s="148">
        <v>2059.08</v>
      </c>
      <c r="D38" s="142"/>
      <c r="H38"/>
    </row>
    <row r="39" spans="1:8" ht="14.25" x14ac:dyDescent="0.2">
      <c r="B39" s="121" t="s">
        <v>468</v>
      </c>
      <c r="C39" s="149">
        <v>4507.68</v>
      </c>
      <c r="D39" s="142"/>
      <c r="H39"/>
    </row>
    <row r="40" spans="1:8" ht="14.25" x14ac:dyDescent="0.2">
      <c r="B40" s="121" t="s">
        <v>470</v>
      </c>
      <c r="C40" s="144">
        <v>2896.44</v>
      </c>
      <c r="D40" s="142"/>
      <c r="H40"/>
    </row>
    <row r="41" spans="1:8" ht="14.25" x14ac:dyDescent="0.2">
      <c r="B41" s="120" t="s">
        <v>431</v>
      </c>
      <c r="C41" s="126">
        <v>213.24</v>
      </c>
      <c r="D41" s="142"/>
      <c r="H41"/>
    </row>
    <row r="42" spans="1:8" ht="14.25" x14ac:dyDescent="0.2">
      <c r="B42" s="120" t="s">
        <v>451</v>
      </c>
      <c r="C42" s="135">
        <v>188.16</v>
      </c>
      <c r="D42" s="142"/>
      <c r="H42"/>
    </row>
    <row r="43" spans="1:8" ht="14.25" x14ac:dyDescent="0.2">
      <c r="B43" s="120" t="s">
        <v>452</v>
      </c>
      <c r="C43" s="135">
        <v>260.60000000000002</v>
      </c>
      <c r="D43" s="142"/>
      <c r="H43"/>
    </row>
    <row r="44" spans="1:8" ht="14.25" x14ac:dyDescent="0.2">
      <c r="B44" s="120" t="s">
        <v>461</v>
      </c>
      <c r="C44" s="144">
        <v>248.4</v>
      </c>
      <c r="D44" s="142"/>
      <c r="H44"/>
    </row>
    <row r="45" spans="1:8" ht="14.25" x14ac:dyDescent="0.2">
      <c r="B45" s="120" t="s">
        <v>462</v>
      </c>
      <c r="C45" s="144">
        <v>996.4</v>
      </c>
      <c r="D45" s="142"/>
      <c r="H45"/>
    </row>
    <row r="46" spans="1:8" ht="14.25" x14ac:dyDescent="0.2">
      <c r="B46" s="120" t="s">
        <v>466</v>
      </c>
      <c r="C46" s="144">
        <v>1072.2</v>
      </c>
      <c r="D46" s="142"/>
      <c r="H46"/>
    </row>
    <row r="47" spans="1:8" ht="14.25" x14ac:dyDescent="0.2">
      <c r="B47" s="130" t="s">
        <v>435</v>
      </c>
      <c r="C47" s="126">
        <v>625.91999999999996</v>
      </c>
      <c r="D47" s="142"/>
      <c r="H47"/>
    </row>
    <row r="48" spans="1:8" ht="14.25" x14ac:dyDescent="0.2">
      <c r="B48" s="130" t="s">
        <v>436</v>
      </c>
      <c r="C48" s="126">
        <v>681.12</v>
      </c>
      <c r="D48" s="142"/>
      <c r="H48"/>
    </row>
    <row r="49" spans="1:8" ht="14.25" x14ac:dyDescent="0.2">
      <c r="B49" s="120" t="s">
        <v>464</v>
      </c>
      <c r="C49" s="144">
        <v>332.15</v>
      </c>
      <c r="D49" s="142"/>
      <c r="H49"/>
    </row>
    <row r="50" spans="1:8" ht="14.25" x14ac:dyDescent="0.2">
      <c r="A50"/>
      <c r="B50" s="130" t="s">
        <v>438</v>
      </c>
      <c r="C50" s="126">
        <v>15.69</v>
      </c>
      <c r="D50" s="142"/>
      <c r="E50"/>
      <c r="F50"/>
      <c r="G50"/>
      <c r="H50"/>
    </row>
    <row r="51" spans="1:8" ht="15" thickBot="1" x14ac:dyDescent="0.25">
      <c r="A51"/>
      <c r="B51" s="155" t="s">
        <v>445</v>
      </c>
      <c r="C51" s="145">
        <v>344.94</v>
      </c>
      <c r="D51" s="142"/>
      <c r="E51"/>
      <c r="F51"/>
      <c r="G51"/>
      <c r="H51"/>
    </row>
  </sheetData>
  <sheetProtection algorithmName="SHA-512" hashValue="VP9aNFNOu+o+cAGEHqjlMuqQqGxjBIpyozadDTwWHqOPw76efV9FXhmtvomrSoByts3YJSmgAQ8vfJD6+V2LEA==" saltValue="+Q/iDcM83J3RQtND3m9peQ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0">
      <selection activeCell="B55" sqref="B55"/>
      <colBreaks count="1" manualBreakCount="1">
        <brk id="8" min="7" max="50" man="1"/>
      </colBreaks>
      <pageMargins left="0.7" right="0.7" top="0.75" bottom="0.75" header="0.3" footer="0.3"/>
      <pageSetup paperSize="9" scale="60" orientation="portrait" r:id="rId1"/>
    </customSheetView>
  </customSheetViews>
  <mergeCells count="5">
    <mergeCell ref="A10:A21"/>
    <mergeCell ref="B10:B11"/>
    <mergeCell ref="B15:B16"/>
    <mergeCell ref="A25:A26"/>
    <mergeCell ref="A8:G8"/>
  </mergeCells>
  <pageMargins left="0.7" right="0.7" top="0.75" bottom="0.75" header="0.3" footer="0.3"/>
  <pageSetup paperSize="9" scale="60" orientation="portrait" r:id="rId2"/>
  <colBreaks count="1" manualBreakCount="1">
    <brk id="8" min="7" max="50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opLeftCell="A23" workbookViewId="0">
      <selection activeCell="Q50" sqref="Q50"/>
    </sheetView>
  </sheetViews>
  <sheetFormatPr defaultRowHeight="12.75" x14ac:dyDescent="0.2"/>
  <cols>
    <col min="1" max="1" width="10.5703125" style="10" customWidth="1"/>
    <col min="2" max="2" width="36" style="10" customWidth="1"/>
    <col min="3" max="3" width="31.42578125" style="10" customWidth="1"/>
    <col min="4" max="4" width="9.5703125" style="10" customWidth="1"/>
    <col min="5" max="5" width="16" style="10" customWidth="1"/>
    <col min="6" max="6" width="14.42578125" style="10" customWidth="1"/>
    <col min="7" max="7" width="14.5703125" style="10" customWidth="1"/>
    <col min="8" max="8" width="0.140625" style="10" hidden="1" customWidth="1"/>
    <col min="9" max="9" width="16" hidden="1" customWidth="1"/>
    <col min="10" max="10" width="7.5703125" hidden="1" customWidth="1"/>
    <col min="11" max="11" width="18.85546875" hidden="1" customWidth="1"/>
    <col min="12" max="12" width="23.5703125" hidden="1" customWidth="1"/>
    <col min="13" max="15" width="9.140625" hidden="1" customWidth="1"/>
  </cols>
  <sheetData>
    <row r="1" spans="1:8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F4" s="44"/>
      <c r="G4" s="44"/>
      <c r="H4" s="44"/>
    </row>
    <row r="5" spans="1:8" ht="15.75" hidden="1" x14ac:dyDescent="0.25">
      <c r="A5" s="12"/>
      <c r="B5" s="12"/>
      <c r="C5" s="12"/>
      <c r="D5" s="12"/>
      <c r="F5" s="44"/>
      <c r="G5" s="44"/>
      <c r="H5" s="44"/>
    </row>
    <row r="6" spans="1:8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8" ht="15" hidden="1" x14ac:dyDescent="0.2">
      <c r="A7" s="12"/>
      <c r="B7" s="47"/>
      <c r="C7" s="47"/>
      <c r="D7" s="47"/>
      <c r="F7" s="45"/>
      <c r="G7" s="45"/>
      <c r="H7" s="45"/>
    </row>
    <row r="8" spans="1:8" ht="54" customHeight="1" thickBot="1" x14ac:dyDescent="0.25">
      <c r="A8" s="317" t="s">
        <v>378</v>
      </c>
      <c r="B8" s="324"/>
      <c r="C8" s="324"/>
      <c r="D8" s="324"/>
      <c r="E8" s="324"/>
      <c r="F8" s="324"/>
      <c r="G8" s="324"/>
      <c r="H8"/>
    </row>
    <row r="9" spans="1:8" ht="129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198</v>
      </c>
    </row>
    <row r="10" spans="1:8" ht="27" customHeight="1" x14ac:dyDescent="0.2">
      <c r="A10" s="332" t="s">
        <v>125</v>
      </c>
      <c r="B10" s="330" t="s">
        <v>298</v>
      </c>
      <c r="C10" s="166" t="s">
        <v>202</v>
      </c>
      <c r="D10" s="166">
        <f>1+0.6</f>
        <v>1.6</v>
      </c>
      <c r="E10" s="166">
        <f>D10*J33</f>
        <v>1368</v>
      </c>
      <c r="F10" s="166">
        <f>C33+C54+C44*35</f>
        <v>8793.24</v>
      </c>
      <c r="G10" s="85">
        <f t="shared" ref="G10:G19" si="0">E10+F10</f>
        <v>10161.24</v>
      </c>
    </row>
    <row r="11" spans="1:8" ht="27" customHeight="1" x14ac:dyDescent="0.2">
      <c r="A11" s="333"/>
      <c r="B11" s="319"/>
      <c r="C11" s="162" t="s">
        <v>203</v>
      </c>
      <c r="D11" s="162">
        <f>1+0.6</f>
        <v>1.6</v>
      </c>
      <c r="E11" s="162">
        <f>D11*J33</f>
        <v>1368</v>
      </c>
      <c r="F11" s="162">
        <f>C33+C54+C45*35</f>
        <v>7915.44</v>
      </c>
      <c r="G11" s="77">
        <f t="shared" si="0"/>
        <v>9283.4399999999987</v>
      </c>
    </row>
    <row r="12" spans="1:8" ht="27" customHeight="1" x14ac:dyDescent="0.2">
      <c r="A12" s="333"/>
      <c r="B12" s="165" t="s">
        <v>204</v>
      </c>
      <c r="C12" s="162" t="s">
        <v>273</v>
      </c>
      <c r="D12" s="162">
        <f>0.6</f>
        <v>0.6</v>
      </c>
      <c r="E12" s="162">
        <f>J33*D12</f>
        <v>513</v>
      </c>
      <c r="F12" s="162">
        <f>C40</f>
        <v>2059.08</v>
      </c>
      <c r="G12" s="77">
        <f>F12+E12</f>
        <v>2572.08</v>
      </c>
    </row>
    <row r="13" spans="1:8" ht="27" customHeight="1" x14ac:dyDescent="0.2">
      <c r="A13" s="333"/>
      <c r="B13" s="162" t="s">
        <v>282</v>
      </c>
      <c r="C13" s="162" t="s">
        <v>274</v>
      </c>
      <c r="D13" s="162">
        <f>0.8+0.2+0.6</f>
        <v>1.6</v>
      </c>
      <c r="E13" s="162">
        <f>D13*J33</f>
        <v>1368</v>
      </c>
      <c r="F13" s="162">
        <f>C34+C37</f>
        <v>3241.56</v>
      </c>
      <c r="G13" s="77">
        <f t="shared" si="0"/>
        <v>4609.5599999999995</v>
      </c>
    </row>
    <row r="14" spans="1:8" ht="27" customHeight="1" x14ac:dyDescent="0.2">
      <c r="A14" s="333"/>
      <c r="B14" s="162" t="s">
        <v>313</v>
      </c>
      <c r="C14" s="162" t="s">
        <v>295</v>
      </c>
      <c r="D14" s="162">
        <f>0.8+0.2+1.3+0.6</f>
        <v>2.9</v>
      </c>
      <c r="E14" s="162">
        <f>D14*J33</f>
        <v>2479.5</v>
      </c>
      <c r="F14" s="162">
        <f>C34+C39*6+C37</f>
        <v>5450.16</v>
      </c>
      <c r="G14" s="77">
        <f t="shared" si="0"/>
        <v>7929.66</v>
      </c>
    </row>
    <row r="15" spans="1:8" ht="27" customHeight="1" x14ac:dyDescent="0.2">
      <c r="A15" s="333"/>
      <c r="B15" s="331" t="s">
        <v>284</v>
      </c>
      <c r="C15" s="162" t="s">
        <v>308</v>
      </c>
      <c r="D15" s="162">
        <f>0.6+0.6</f>
        <v>1.2</v>
      </c>
      <c r="E15" s="162">
        <f>D15*J33</f>
        <v>1026</v>
      </c>
      <c r="F15" s="162">
        <f>C47*16</f>
        <v>3974.4</v>
      </c>
      <c r="G15" s="77">
        <f t="shared" si="0"/>
        <v>5000.3999999999996</v>
      </c>
    </row>
    <row r="16" spans="1:8" ht="27" customHeight="1" x14ac:dyDescent="0.2">
      <c r="A16" s="333"/>
      <c r="B16" s="319"/>
      <c r="C16" s="162" t="s">
        <v>253</v>
      </c>
      <c r="D16" s="162">
        <f>0.6+0.6</f>
        <v>1.2</v>
      </c>
      <c r="E16" s="162">
        <f>D16*J33</f>
        <v>1026</v>
      </c>
      <c r="F16" s="162">
        <f>C48*14</f>
        <v>13949.6</v>
      </c>
      <c r="G16" s="77">
        <f t="shared" si="0"/>
        <v>14975.6</v>
      </c>
    </row>
    <row r="17" spans="1:8" ht="27" customHeight="1" x14ac:dyDescent="0.2">
      <c r="A17" s="333"/>
      <c r="B17" s="165" t="s">
        <v>209</v>
      </c>
      <c r="C17" s="162" t="s">
        <v>210</v>
      </c>
      <c r="D17" s="162">
        <f>0.7+0.6</f>
        <v>1.2999999999999998</v>
      </c>
      <c r="E17" s="162">
        <f>D17*J33</f>
        <v>1111.4999999999998</v>
      </c>
      <c r="F17" s="162">
        <f>C45*6</f>
        <v>1128.96</v>
      </c>
      <c r="G17" s="77">
        <f>F17+E17</f>
        <v>2240.46</v>
      </c>
    </row>
    <row r="18" spans="1:8" ht="37.5" customHeight="1" x14ac:dyDescent="0.2">
      <c r="A18" s="333"/>
      <c r="B18" s="165" t="s">
        <v>211</v>
      </c>
      <c r="C18" s="162" t="s">
        <v>212</v>
      </c>
      <c r="D18" s="162">
        <f>0.7+0.3+0.6</f>
        <v>1.6</v>
      </c>
      <c r="E18" s="162">
        <f>D18*J33</f>
        <v>1368</v>
      </c>
      <c r="F18" s="162">
        <f>C45*6+C41</f>
        <v>5779.32</v>
      </c>
      <c r="G18" s="77">
        <f>F18+E18</f>
        <v>7147.32</v>
      </c>
    </row>
    <row r="19" spans="1:8" ht="27" customHeight="1" x14ac:dyDescent="0.2">
      <c r="A19" s="333"/>
      <c r="B19" s="162" t="s">
        <v>306</v>
      </c>
      <c r="C19" s="162" t="s">
        <v>213</v>
      </c>
      <c r="D19" s="162">
        <f>2+0.6</f>
        <v>2.6</v>
      </c>
      <c r="E19" s="162">
        <f>D19*J33</f>
        <v>2223</v>
      </c>
      <c r="F19" s="162">
        <f>C46*22</f>
        <v>5733.2000000000007</v>
      </c>
      <c r="G19" s="77">
        <f t="shared" si="0"/>
        <v>7956.2000000000007</v>
      </c>
      <c r="H19"/>
    </row>
    <row r="20" spans="1:8" ht="27" customHeight="1" x14ac:dyDescent="0.2">
      <c r="A20" s="333"/>
      <c r="B20" s="162" t="s">
        <v>286</v>
      </c>
      <c r="C20" s="162" t="s">
        <v>309</v>
      </c>
      <c r="D20" s="162">
        <f>0.7+0.6</f>
        <v>1.2999999999999998</v>
      </c>
      <c r="E20" s="162">
        <f>D20*J33</f>
        <v>1111.4999999999998</v>
      </c>
      <c r="F20" s="162">
        <f>C51*27+C53*27</f>
        <v>18813.870000000003</v>
      </c>
      <c r="G20" s="77">
        <f>I22+F20</f>
        <v>18813.870000000003</v>
      </c>
      <c r="H20"/>
    </row>
    <row r="21" spans="1:8" ht="27" customHeight="1" x14ac:dyDescent="0.2">
      <c r="A21" s="333"/>
      <c r="B21" s="162" t="s">
        <v>302</v>
      </c>
      <c r="C21" s="162" t="s">
        <v>310</v>
      </c>
      <c r="D21" s="162">
        <f>0.4+0.6</f>
        <v>1</v>
      </c>
      <c r="E21" s="162">
        <f>D21*J33</f>
        <v>855</v>
      </c>
      <c r="F21" s="162">
        <f>C38</f>
        <v>967.62</v>
      </c>
      <c r="G21" s="77">
        <f t="shared" ref="G21:G29" si="1">E21+F21</f>
        <v>1822.62</v>
      </c>
      <c r="H21"/>
    </row>
    <row r="22" spans="1:8" ht="27" customHeight="1" x14ac:dyDescent="0.2">
      <c r="A22" s="333"/>
      <c r="B22" s="162" t="s">
        <v>288</v>
      </c>
      <c r="C22" s="162" t="s">
        <v>311</v>
      </c>
      <c r="D22" s="162">
        <f>0.7+0.6</f>
        <v>1.2999999999999998</v>
      </c>
      <c r="E22" s="162">
        <f>D22*J33</f>
        <v>1111.4999999999998</v>
      </c>
      <c r="F22" s="162">
        <f>C35*2</f>
        <v>12450</v>
      </c>
      <c r="G22" s="77">
        <f t="shared" si="1"/>
        <v>13561.5</v>
      </c>
      <c r="H22"/>
    </row>
    <row r="23" spans="1:8" ht="27" customHeight="1" x14ac:dyDescent="0.2">
      <c r="A23" s="333"/>
      <c r="B23" s="162" t="s">
        <v>289</v>
      </c>
      <c r="C23" s="162" t="s">
        <v>278</v>
      </c>
      <c r="D23" s="17">
        <f>0.9+0.6+0.6</f>
        <v>2.1</v>
      </c>
      <c r="E23" s="161">
        <f>D23*J33</f>
        <v>1795.5</v>
      </c>
      <c r="F23" s="162">
        <f>C42</f>
        <v>4507.68</v>
      </c>
      <c r="G23" s="77">
        <f t="shared" si="1"/>
        <v>6303.18</v>
      </c>
      <c r="H23"/>
    </row>
    <row r="24" spans="1:8" ht="27" customHeight="1" x14ac:dyDescent="0.2">
      <c r="A24" s="97"/>
      <c r="B24" s="162" t="s">
        <v>290</v>
      </c>
      <c r="C24" s="162" t="s">
        <v>279</v>
      </c>
      <c r="D24" s="17">
        <f>1+0.6+0.6</f>
        <v>2.2000000000000002</v>
      </c>
      <c r="E24" s="162">
        <f>D24*J33</f>
        <v>1881.0000000000002</v>
      </c>
      <c r="F24" s="162">
        <f>C42</f>
        <v>4507.68</v>
      </c>
      <c r="G24" s="77">
        <f t="shared" si="1"/>
        <v>6388.68</v>
      </c>
      <c r="H24"/>
    </row>
    <row r="25" spans="1:8" ht="27" customHeight="1" x14ac:dyDescent="0.2">
      <c r="A25" s="97"/>
      <c r="B25" s="162" t="s">
        <v>303</v>
      </c>
      <c r="C25" s="162" t="s">
        <v>279</v>
      </c>
      <c r="D25" s="17">
        <f>1+0.6+0.6</f>
        <v>2.2000000000000002</v>
      </c>
      <c r="E25" s="162">
        <f>D25*J33</f>
        <v>1881.0000000000002</v>
      </c>
      <c r="F25" s="162">
        <f>C42</f>
        <v>4507.68</v>
      </c>
      <c r="G25" s="77">
        <f>F25+E25</f>
        <v>6388.68</v>
      </c>
      <c r="H25"/>
    </row>
    <row r="26" spans="1:8" ht="40.5" customHeight="1" x14ac:dyDescent="0.2">
      <c r="A26" s="160" t="s">
        <v>14</v>
      </c>
      <c r="B26" s="162" t="s">
        <v>291</v>
      </c>
      <c r="C26" s="162" t="s">
        <v>312</v>
      </c>
      <c r="D26" s="162">
        <f>1.6+0.3+0.7+0.6</f>
        <v>3.2</v>
      </c>
      <c r="E26" s="162">
        <f>D26*J33</f>
        <v>2736</v>
      </c>
      <c r="F26" s="162">
        <f>C36+C52*3</f>
        <v>1626.57</v>
      </c>
      <c r="G26" s="77">
        <f t="shared" si="1"/>
        <v>4362.57</v>
      </c>
      <c r="H26"/>
    </row>
    <row r="27" spans="1:8" ht="40.5" customHeight="1" x14ac:dyDescent="0.2">
      <c r="A27" s="297" t="s">
        <v>16</v>
      </c>
      <c r="B27" s="162" t="s">
        <v>206</v>
      </c>
      <c r="C27" s="162" t="s">
        <v>17</v>
      </c>
      <c r="D27" s="162">
        <f>1.6+0.3+0.3+0.7+0.6</f>
        <v>3.5000000000000004</v>
      </c>
      <c r="E27" s="162">
        <f>D27*J33</f>
        <v>2992.5000000000005</v>
      </c>
      <c r="F27" s="162">
        <f>C38+C36+C52*3</f>
        <v>2594.19</v>
      </c>
      <c r="G27" s="77">
        <f t="shared" si="1"/>
        <v>5586.6900000000005</v>
      </c>
      <c r="H27"/>
    </row>
    <row r="28" spans="1:8" ht="27" customHeight="1" x14ac:dyDescent="0.2">
      <c r="A28" s="298"/>
      <c r="B28" s="162" t="s">
        <v>304</v>
      </c>
      <c r="C28" s="162" t="s">
        <v>255</v>
      </c>
      <c r="D28" s="162">
        <f>5.1</f>
        <v>5.0999999999999996</v>
      </c>
      <c r="E28" s="162">
        <f>D28*J33</f>
        <v>4360.5</v>
      </c>
      <c r="F28" s="162">
        <f>C43*2</f>
        <v>5792.88</v>
      </c>
      <c r="G28" s="77">
        <f t="shared" si="1"/>
        <v>10153.380000000001</v>
      </c>
      <c r="H28"/>
    </row>
    <row r="29" spans="1:8" ht="72" customHeight="1" thickBot="1" x14ac:dyDescent="0.25">
      <c r="A29" s="163" t="s">
        <v>249</v>
      </c>
      <c r="B29" s="33" t="s">
        <v>207</v>
      </c>
      <c r="C29" s="33" t="s">
        <v>18</v>
      </c>
      <c r="D29" s="33">
        <f>1.6+0.6+0.3+0.7+0.6</f>
        <v>3.8000000000000003</v>
      </c>
      <c r="E29" s="33">
        <f>D29*J33</f>
        <v>3249.0000000000005</v>
      </c>
      <c r="F29" s="33">
        <f>C51*27+C53*27+C36+C52*3+C35*2+C50</f>
        <v>33516.36</v>
      </c>
      <c r="G29" s="86">
        <f t="shared" si="1"/>
        <v>36765.360000000001</v>
      </c>
      <c r="H29"/>
    </row>
    <row r="30" spans="1:8" x14ac:dyDescent="0.2">
      <c r="A30" s="30"/>
      <c r="B30" s="17"/>
      <c r="C30" s="17"/>
      <c r="D30" s="17"/>
      <c r="E30" s="17"/>
      <c r="F30" s="17"/>
      <c r="G30" s="17"/>
      <c r="H30"/>
    </row>
    <row r="31" spans="1:8" ht="13.5" thickBot="1" x14ac:dyDescent="0.25">
      <c r="A31" s="30"/>
      <c r="D31" s="17"/>
      <c r="E31" s="17"/>
      <c r="F31" s="17"/>
      <c r="G31" s="17"/>
      <c r="H31"/>
    </row>
    <row r="32" spans="1:8" ht="16.5" thickBot="1" x14ac:dyDescent="0.25">
      <c r="A32" s="30"/>
      <c r="B32" s="90" t="s">
        <v>49</v>
      </c>
      <c r="C32" s="112" t="s">
        <v>121</v>
      </c>
      <c r="D32" s="17"/>
      <c r="E32" s="17"/>
      <c r="F32" s="17"/>
      <c r="G32" s="17"/>
      <c r="H32"/>
    </row>
    <row r="33" spans="1:10" ht="15" thickBot="1" x14ac:dyDescent="0.25">
      <c r="A33" s="30"/>
      <c r="B33" s="143" t="s">
        <v>155</v>
      </c>
      <c r="C33" s="125">
        <v>984.9</v>
      </c>
      <c r="D33" s="17"/>
      <c r="E33" s="17"/>
      <c r="H33"/>
      <c r="I33" s="118" t="s">
        <v>166</v>
      </c>
      <c r="J33" s="91">
        <v>855</v>
      </c>
    </row>
    <row r="34" spans="1:10" ht="14.25" x14ac:dyDescent="0.2">
      <c r="A34" s="30"/>
      <c r="B34" s="120" t="s">
        <v>449</v>
      </c>
      <c r="C34" s="149">
        <v>889.08</v>
      </c>
      <c r="D34" s="17"/>
      <c r="E34" s="17"/>
      <c r="F34" s="17"/>
      <c r="G34" s="17"/>
      <c r="H34"/>
    </row>
    <row r="35" spans="1:10" ht="14.25" x14ac:dyDescent="0.2">
      <c r="A35" s="30"/>
      <c r="B35" s="120" t="s">
        <v>450</v>
      </c>
      <c r="C35" s="126">
        <v>6225</v>
      </c>
      <c r="D35" s="17"/>
      <c r="E35" s="17"/>
      <c r="F35" s="17"/>
      <c r="G35" s="17"/>
      <c r="H35"/>
    </row>
    <row r="36" spans="1:10" ht="14.25" x14ac:dyDescent="0.2">
      <c r="A36" s="74"/>
      <c r="B36" s="120" t="s">
        <v>416</v>
      </c>
      <c r="C36" s="149">
        <v>630.12</v>
      </c>
      <c r="D36" s="138"/>
      <c r="E36" s="74"/>
      <c r="F36" s="74"/>
      <c r="G36" s="74"/>
      <c r="H36"/>
    </row>
    <row r="37" spans="1:10" ht="14.25" x14ac:dyDescent="0.2">
      <c r="B37" s="120" t="s">
        <v>458</v>
      </c>
      <c r="C37" s="126">
        <v>2352.48</v>
      </c>
      <c r="D37" s="142"/>
      <c r="H37"/>
    </row>
    <row r="38" spans="1:10" ht="14.25" x14ac:dyDescent="0.2">
      <c r="B38" s="120" t="s">
        <v>459</v>
      </c>
      <c r="C38" s="126">
        <v>967.62</v>
      </c>
      <c r="D38" s="12"/>
      <c r="H38"/>
    </row>
    <row r="39" spans="1:10" ht="14.25" x14ac:dyDescent="0.2">
      <c r="B39" s="130" t="s">
        <v>460</v>
      </c>
      <c r="C39" s="197">
        <v>368.1</v>
      </c>
      <c r="D39" s="142"/>
      <c r="H39"/>
    </row>
    <row r="40" spans="1:10" ht="14.25" x14ac:dyDescent="0.2">
      <c r="B40" s="121" t="s">
        <v>472</v>
      </c>
      <c r="C40" s="148">
        <v>2059.08</v>
      </c>
      <c r="D40" s="142"/>
      <c r="H40"/>
    </row>
    <row r="41" spans="1:10" ht="14.25" x14ac:dyDescent="0.2">
      <c r="B41" s="120" t="s">
        <v>476</v>
      </c>
      <c r="C41" s="144">
        <v>4650.3599999999997</v>
      </c>
      <c r="D41" s="142"/>
      <c r="H41"/>
    </row>
    <row r="42" spans="1:10" ht="14.25" x14ac:dyDescent="0.2">
      <c r="B42" s="121" t="s">
        <v>468</v>
      </c>
      <c r="C42" s="149">
        <v>4507.68</v>
      </c>
      <c r="D42" s="142"/>
      <c r="H42"/>
    </row>
    <row r="43" spans="1:10" ht="14.25" x14ac:dyDescent="0.2">
      <c r="B43" s="121" t="s">
        <v>470</v>
      </c>
      <c r="C43" s="144">
        <v>2896.44</v>
      </c>
      <c r="D43" s="142"/>
      <c r="H43"/>
    </row>
    <row r="44" spans="1:10" ht="14.25" x14ac:dyDescent="0.2">
      <c r="B44" s="120" t="s">
        <v>431</v>
      </c>
      <c r="C44" s="126">
        <v>213.24</v>
      </c>
      <c r="D44" s="142"/>
      <c r="H44"/>
    </row>
    <row r="45" spans="1:10" ht="14.25" x14ac:dyDescent="0.2">
      <c r="B45" s="120" t="s">
        <v>451</v>
      </c>
      <c r="C45" s="135">
        <v>188.16</v>
      </c>
      <c r="D45" s="142"/>
      <c r="H45"/>
    </row>
    <row r="46" spans="1:10" ht="14.25" x14ac:dyDescent="0.2">
      <c r="B46" s="120" t="s">
        <v>452</v>
      </c>
      <c r="C46" s="135">
        <v>260.60000000000002</v>
      </c>
      <c r="D46" s="142"/>
      <c r="H46"/>
    </row>
    <row r="47" spans="1:10" ht="14.25" x14ac:dyDescent="0.2">
      <c r="B47" s="120" t="s">
        <v>461</v>
      </c>
      <c r="C47" s="144">
        <v>248.4</v>
      </c>
      <c r="D47" s="142"/>
      <c r="H47"/>
    </row>
    <row r="48" spans="1:10" ht="14.25" x14ac:dyDescent="0.2">
      <c r="B48" s="120" t="s">
        <v>462</v>
      </c>
      <c r="C48" s="144">
        <v>996.4</v>
      </c>
      <c r="D48" s="142"/>
      <c r="H48"/>
    </row>
    <row r="49" spans="1:8" ht="14.25" x14ac:dyDescent="0.2">
      <c r="B49" s="120" t="s">
        <v>466</v>
      </c>
      <c r="C49" s="144">
        <v>1072.2</v>
      </c>
      <c r="D49" s="142"/>
      <c r="H49"/>
    </row>
    <row r="50" spans="1:8" ht="14.25" x14ac:dyDescent="0.2">
      <c r="B50" s="130" t="s">
        <v>435</v>
      </c>
      <c r="C50" s="126">
        <v>625.91999999999996</v>
      </c>
      <c r="D50" s="142"/>
      <c r="H50"/>
    </row>
    <row r="51" spans="1:8" ht="14.25" x14ac:dyDescent="0.2">
      <c r="B51" s="130" t="s">
        <v>436</v>
      </c>
      <c r="C51" s="126">
        <v>681.12</v>
      </c>
      <c r="D51" s="142"/>
      <c r="H51"/>
    </row>
    <row r="52" spans="1:8" ht="14.25" x14ac:dyDescent="0.2">
      <c r="B52" s="120" t="s">
        <v>464</v>
      </c>
      <c r="C52" s="144">
        <v>332.15</v>
      </c>
      <c r="D52" s="142"/>
      <c r="H52"/>
    </row>
    <row r="53" spans="1:8" ht="14.25" x14ac:dyDescent="0.2">
      <c r="A53"/>
      <c r="B53" s="130" t="s">
        <v>438</v>
      </c>
      <c r="C53" s="126">
        <v>15.69</v>
      </c>
      <c r="D53" s="142"/>
      <c r="E53"/>
      <c r="F53"/>
      <c r="G53"/>
      <c r="H53"/>
    </row>
    <row r="54" spans="1:8" ht="15" thickBot="1" x14ac:dyDescent="0.25">
      <c r="A54"/>
      <c r="B54" s="155" t="s">
        <v>445</v>
      </c>
      <c r="C54" s="145">
        <v>344.94</v>
      </c>
      <c r="D54" s="142"/>
      <c r="E54"/>
      <c r="F54"/>
      <c r="G54"/>
      <c r="H54"/>
    </row>
  </sheetData>
  <sheetProtection algorithmName="SHA-512" hashValue="qKBabKNTTw9Iq+mbuRoepIL4pM/8slNIZ1pTNoIuQzstZ5DC/06gq30eeWVlFVth4/Lkq2AVn/F8XIKsb9O/pA==" saltValue="o7WITtFhK+bKI8ZLdVZ7cA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3">
      <selection activeCell="Q50" sqref="Q50"/>
      <colBreaks count="1" manualBreakCount="1">
        <brk id="8" min="7" max="53" man="1"/>
      </colBreaks>
      <pageMargins left="0.7" right="0.7" top="0.75" bottom="0.75" header="0.3" footer="0.3"/>
      <pageSetup paperSize="9" scale="60" orientation="portrait" r:id="rId1"/>
    </customSheetView>
  </customSheetViews>
  <mergeCells count="5">
    <mergeCell ref="A10:A23"/>
    <mergeCell ref="B10:B11"/>
    <mergeCell ref="B15:B16"/>
    <mergeCell ref="A27:A28"/>
    <mergeCell ref="A8:G8"/>
  </mergeCells>
  <pageMargins left="0.7" right="0.7" top="0.75" bottom="0.75" header="0.3" footer="0.3"/>
  <pageSetup paperSize="9" scale="60" orientation="portrait" r:id="rId2"/>
  <colBreaks count="1" manualBreakCount="1">
    <brk id="8" min="7" max="53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23" workbookViewId="0">
      <selection activeCell="C60" sqref="C60:C61"/>
    </sheetView>
  </sheetViews>
  <sheetFormatPr defaultRowHeight="12.75" x14ac:dyDescent="0.2"/>
  <cols>
    <col min="1" max="1" width="10.5703125" style="10" customWidth="1"/>
    <col min="2" max="2" width="36" style="10" customWidth="1"/>
    <col min="3" max="3" width="31.42578125" style="10" customWidth="1"/>
    <col min="4" max="4" width="9.5703125" style="10" customWidth="1"/>
    <col min="5" max="5" width="16" style="10" customWidth="1"/>
    <col min="6" max="6" width="14.42578125" style="10" customWidth="1"/>
    <col min="7" max="7" width="14.7109375" style="10" customWidth="1"/>
    <col min="8" max="8" width="0.28515625" style="10" customWidth="1"/>
    <col min="9" max="9" width="17.7109375" hidden="1" customWidth="1"/>
    <col min="10" max="10" width="28.140625" hidden="1" customWidth="1"/>
    <col min="11" max="11" width="33.42578125" hidden="1" customWidth="1"/>
    <col min="12" max="12" width="10.85546875" hidden="1" customWidth="1"/>
    <col min="13" max="13" width="37.42578125" hidden="1" customWidth="1"/>
    <col min="14" max="14" width="9.140625" hidden="1" customWidth="1"/>
  </cols>
  <sheetData>
    <row r="1" spans="1:8" ht="15.75" hidden="1" x14ac:dyDescent="0.25">
      <c r="A1" s="12"/>
      <c r="B1" s="12"/>
      <c r="C1" s="12"/>
      <c r="D1" s="12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F4" s="44"/>
      <c r="G4" s="44"/>
      <c r="H4" s="44"/>
    </row>
    <row r="5" spans="1:8" ht="15.75" hidden="1" x14ac:dyDescent="0.25">
      <c r="A5" s="12"/>
      <c r="B5" s="12"/>
      <c r="C5" s="12"/>
      <c r="D5" s="12"/>
      <c r="F5" s="44"/>
      <c r="G5" s="44"/>
      <c r="H5" s="44"/>
    </row>
    <row r="6" spans="1:8" ht="15.75" hidden="1" x14ac:dyDescent="0.25">
      <c r="A6" s="12"/>
      <c r="B6" s="12"/>
      <c r="C6" s="12"/>
      <c r="D6" s="12"/>
      <c r="F6" s="44" t="s">
        <v>179</v>
      </c>
      <c r="G6" s="44"/>
      <c r="H6" s="44"/>
    </row>
    <row r="7" spans="1:8" ht="15" hidden="1" x14ac:dyDescent="0.2">
      <c r="A7" s="12"/>
      <c r="B7" s="47"/>
      <c r="C7" s="47"/>
      <c r="D7" s="47"/>
      <c r="F7" s="45"/>
      <c r="G7" s="45"/>
      <c r="H7" s="45"/>
    </row>
    <row r="8" spans="1:8" ht="56.25" customHeight="1" thickBot="1" x14ac:dyDescent="0.25">
      <c r="A8" s="317" t="s">
        <v>379</v>
      </c>
      <c r="B8" s="324"/>
      <c r="C8" s="324"/>
      <c r="D8" s="324"/>
      <c r="E8" s="324"/>
      <c r="F8" s="324"/>
      <c r="G8" s="324"/>
      <c r="H8"/>
    </row>
    <row r="9" spans="1:8" ht="157.5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87" t="s">
        <v>215</v>
      </c>
    </row>
    <row r="10" spans="1:8" ht="27" customHeight="1" x14ac:dyDescent="0.2">
      <c r="A10" s="332" t="s">
        <v>125</v>
      </c>
      <c r="B10" s="330" t="s">
        <v>298</v>
      </c>
      <c r="C10" s="166" t="s">
        <v>202</v>
      </c>
      <c r="D10" s="166">
        <f>1+0.6</f>
        <v>1.6</v>
      </c>
      <c r="E10" s="166">
        <f>D10*J32</f>
        <v>1368</v>
      </c>
      <c r="F10" s="166">
        <f>C32+C52+C42*35</f>
        <v>8485.5600000000013</v>
      </c>
      <c r="G10" s="85">
        <f t="shared" ref="G10:G17" si="0">E10+F10</f>
        <v>9853.5600000000013</v>
      </c>
    </row>
    <row r="11" spans="1:8" ht="27" customHeight="1" x14ac:dyDescent="0.2">
      <c r="A11" s="333"/>
      <c r="B11" s="319"/>
      <c r="C11" s="162" t="s">
        <v>203</v>
      </c>
      <c r="D11" s="162">
        <f>1+0.6</f>
        <v>1.6</v>
      </c>
      <c r="E11" s="162">
        <f>D11*J32</f>
        <v>1368</v>
      </c>
      <c r="F11" s="162">
        <f>C32+C52+C43*35</f>
        <v>7607.7599999999993</v>
      </c>
      <c r="G11" s="77">
        <f t="shared" si="0"/>
        <v>8975.7599999999984</v>
      </c>
    </row>
    <row r="12" spans="1:8" ht="27" customHeight="1" x14ac:dyDescent="0.2">
      <c r="A12" s="333"/>
      <c r="B12" s="165" t="s">
        <v>204</v>
      </c>
      <c r="C12" s="162" t="s">
        <v>273</v>
      </c>
      <c r="D12" s="162">
        <f>0.6</f>
        <v>0.6</v>
      </c>
      <c r="E12" s="162">
        <f>J32*D12</f>
        <v>513</v>
      </c>
      <c r="F12" s="162">
        <f>C39</f>
        <v>2059.08</v>
      </c>
      <c r="G12" s="77">
        <f>F12+E12</f>
        <v>2572.08</v>
      </c>
    </row>
    <row r="13" spans="1:8" ht="27" customHeight="1" x14ac:dyDescent="0.2">
      <c r="A13" s="333"/>
      <c r="B13" s="162" t="s">
        <v>317</v>
      </c>
      <c r="C13" s="162" t="s">
        <v>274</v>
      </c>
      <c r="D13" s="162">
        <f>0.8+0.2+0.6</f>
        <v>1.6</v>
      </c>
      <c r="E13" s="162">
        <f>D13*J32</f>
        <v>1368</v>
      </c>
      <c r="F13" s="162">
        <f>C33+C36</f>
        <v>3241.56</v>
      </c>
      <c r="G13" s="77">
        <f t="shared" si="0"/>
        <v>4609.5599999999995</v>
      </c>
    </row>
    <row r="14" spans="1:8" ht="27" customHeight="1" x14ac:dyDescent="0.2">
      <c r="A14" s="333"/>
      <c r="B14" s="162" t="s">
        <v>313</v>
      </c>
      <c r="C14" s="162" t="s">
        <v>295</v>
      </c>
      <c r="D14" s="162">
        <f>0.8+0.2+1.3+0.6</f>
        <v>2.9</v>
      </c>
      <c r="E14" s="162">
        <f>D14*J32</f>
        <v>2479.5</v>
      </c>
      <c r="F14" s="162">
        <f>C33+C38*6+C36</f>
        <v>5450.16</v>
      </c>
      <c r="G14" s="77">
        <f t="shared" si="0"/>
        <v>7929.66</v>
      </c>
    </row>
    <row r="15" spans="1:8" ht="27" customHeight="1" x14ac:dyDescent="0.2">
      <c r="A15" s="333"/>
      <c r="B15" s="331" t="s">
        <v>284</v>
      </c>
      <c r="C15" s="162" t="s">
        <v>252</v>
      </c>
      <c r="D15" s="162">
        <f>0.6+0.6</f>
        <v>1.2</v>
      </c>
      <c r="E15" s="162">
        <f>D15*J32</f>
        <v>1026</v>
      </c>
      <c r="F15" s="162">
        <f>C45*15</f>
        <v>3726</v>
      </c>
      <c r="G15" s="77">
        <f t="shared" si="0"/>
        <v>4752</v>
      </c>
    </row>
    <row r="16" spans="1:8" ht="27" customHeight="1" x14ac:dyDescent="0.2">
      <c r="A16" s="333"/>
      <c r="B16" s="319"/>
      <c r="C16" s="162" t="s">
        <v>253</v>
      </c>
      <c r="D16" s="162">
        <f>0.6+0.6</f>
        <v>1.2</v>
      </c>
      <c r="E16" s="162">
        <f>D16*J32</f>
        <v>1026</v>
      </c>
      <c r="F16" s="162">
        <f>C46*14</f>
        <v>13949.6</v>
      </c>
      <c r="G16" s="77">
        <f t="shared" si="0"/>
        <v>14975.6</v>
      </c>
    </row>
    <row r="17" spans="1:10" ht="27" customHeight="1" x14ac:dyDescent="0.2">
      <c r="A17" s="333"/>
      <c r="B17" s="162" t="s">
        <v>306</v>
      </c>
      <c r="C17" s="162" t="s">
        <v>213</v>
      </c>
      <c r="D17" s="162">
        <f>2+0.6</f>
        <v>2.6</v>
      </c>
      <c r="E17" s="162">
        <f>D17*J32</f>
        <v>2223</v>
      </c>
      <c r="F17" s="162">
        <f>C44*22</f>
        <v>5733.2000000000007</v>
      </c>
      <c r="G17" s="77">
        <f t="shared" si="0"/>
        <v>7956.2000000000007</v>
      </c>
      <c r="H17"/>
    </row>
    <row r="18" spans="1:10" ht="27" customHeight="1" x14ac:dyDescent="0.2">
      <c r="A18" s="333"/>
      <c r="B18" s="162" t="s">
        <v>286</v>
      </c>
      <c r="C18" s="162" t="s">
        <v>314</v>
      </c>
      <c r="D18" s="162">
        <f>0.7+0.6</f>
        <v>1.2999999999999998</v>
      </c>
      <c r="E18" s="162">
        <f>D18*J32</f>
        <v>1111.4999999999998</v>
      </c>
      <c r="F18" s="162">
        <f>C49*21+C51*20</f>
        <v>14617.32</v>
      </c>
      <c r="G18" s="77">
        <f>I20+F18</f>
        <v>14617.32</v>
      </c>
      <c r="H18"/>
    </row>
    <row r="19" spans="1:10" ht="27" customHeight="1" x14ac:dyDescent="0.2">
      <c r="A19" s="333"/>
      <c r="B19" s="162" t="s">
        <v>302</v>
      </c>
      <c r="C19" s="162" t="s">
        <v>277</v>
      </c>
      <c r="D19" s="162">
        <f>0.4+0.6</f>
        <v>1</v>
      </c>
      <c r="E19" s="162">
        <f>D19*J32</f>
        <v>855</v>
      </c>
      <c r="F19" s="162">
        <f>C37</f>
        <v>967.62</v>
      </c>
      <c r="G19" s="77">
        <f t="shared" ref="G19:G28" si="1">E19+F19</f>
        <v>1822.62</v>
      </c>
      <c r="H19"/>
    </row>
    <row r="20" spans="1:10" ht="27" customHeight="1" x14ac:dyDescent="0.2">
      <c r="A20" s="333"/>
      <c r="B20" s="162" t="s">
        <v>288</v>
      </c>
      <c r="C20" s="162" t="s">
        <v>311</v>
      </c>
      <c r="D20" s="162">
        <f>0.7+0.6</f>
        <v>1.2999999999999998</v>
      </c>
      <c r="E20" s="162">
        <f>D20*J32</f>
        <v>1111.4999999999998</v>
      </c>
      <c r="F20" s="162">
        <f>C34*2</f>
        <v>29635.439999999999</v>
      </c>
      <c r="G20" s="77">
        <f t="shared" si="1"/>
        <v>30746.94</v>
      </c>
      <c r="H20"/>
    </row>
    <row r="21" spans="1:10" ht="27" customHeight="1" x14ac:dyDescent="0.2">
      <c r="A21" s="333"/>
      <c r="B21" s="162" t="s">
        <v>289</v>
      </c>
      <c r="C21" s="162" t="s">
        <v>315</v>
      </c>
      <c r="D21" s="17">
        <f>0.9+0.6+0.6</f>
        <v>2.1</v>
      </c>
      <c r="E21" s="162">
        <f>D21*J32</f>
        <v>1795.5</v>
      </c>
      <c r="F21" s="162">
        <f>C40</f>
        <v>4507.68</v>
      </c>
      <c r="G21" s="77">
        <f>F21+E21</f>
        <v>6303.18</v>
      </c>
      <c r="H21"/>
    </row>
    <row r="22" spans="1:10" ht="27" customHeight="1" x14ac:dyDescent="0.2">
      <c r="A22" s="333"/>
      <c r="B22" s="162" t="s">
        <v>290</v>
      </c>
      <c r="C22" s="162" t="s">
        <v>315</v>
      </c>
      <c r="D22" s="17">
        <f>0.9+0.6+0.6</f>
        <v>2.1</v>
      </c>
      <c r="E22" s="161">
        <f>D22*J32</f>
        <v>1795.5</v>
      </c>
      <c r="F22" s="162">
        <f>C40</f>
        <v>4507.68</v>
      </c>
      <c r="G22" s="77">
        <f t="shared" si="1"/>
        <v>6303.18</v>
      </c>
      <c r="H22"/>
    </row>
    <row r="23" spans="1:10" ht="27" customHeight="1" x14ac:dyDescent="0.2">
      <c r="A23" s="97"/>
      <c r="B23" s="162" t="s">
        <v>303</v>
      </c>
      <c r="C23" s="162" t="s">
        <v>316</v>
      </c>
      <c r="D23" s="17">
        <f>1+0.6+0.6</f>
        <v>2.2000000000000002</v>
      </c>
      <c r="E23" s="162">
        <f>D23*J32</f>
        <v>1881.0000000000002</v>
      </c>
      <c r="F23" s="162">
        <f>C40</f>
        <v>4507.68</v>
      </c>
      <c r="G23" s="77">
        <f t="shared" si="1"/>
        <v>6388.68</v>
      </c>
      <c r="H23"/>
    </row>
    <row r="24" spans="1:10" ht="27" customHeight="1" x14ac:dyDescent="0.2">
      <c r="A24" s="97"/>
      <c r="B24" s="162" t="s">
        <v>318</v>
      </c>
      <c r="C24" s="162" t="s">
        <v>316</v>
      </c>
      <c r="D24" s="17">
        <f>1+0.6+0.6</f>
        <v>2.2000000000000002</v>
      </c>
      <c r="E24" s="162">
        <f>D24*J32</f>
        <v>1881.0000000000002</v>
      </c>
      <c r="F24" s="162">
        <f>C40</f>
        <v>4507.68</v>
      </c>
      <c r="G24" s="77">
        <f>F24+E24</f>
        <v>6388.68</v>
      </c>
      <c r="H24"/>
    </row>
    <row r="25" spans="1:10" ht="40.5" customHeight="1" x14ac:dyDescent="0.2">
      <c r="A25" s="160" t="s">
        <v>14</v>
      </c>
      <c r="B25" s="162" t="s">
        <v>291</v>
      </c>
      <c r="C25" s="162" t="s">
        <v>280</v>
      </c>
      <c r="D25" s="162">
        <f>1.6+0.3+0.7+0.6</f>
        <v>3.2</v>
      </c>
      <c r="E25" s="162">
        <f>D25*J32</f>
        <v>2736</v>
      </c>
      <c r="F25" s="162">
        <f>C35+C50*3</f>
        <v>2581.35</v>
      </c>
      <c r="G25" s="77">
        <f t="shared" si="1"/>
        <v>5317.35</v>
      </c>
      <c r="H25"/>
    </row>
    <row r="26" spans="1:10" ht="40.5" customHeight="1" x14ac:dyDescent="0.2">
      <c r="A26" s="297" t="s">
        <v>16</v>
      </c>
      <c r="B26" s="162" t="s">
        <v>293</v>
      </c>
      <c r="C26" s="162" t="s">
        <v>17</v>
      </c>
      <c r="D26" s="162">
        <f>1.6+0.3+0.3+0.7+0.6</f>
        <v>3.5000000000000004</v>
      </c>
      <c r="E26" s="162">
        <f>D26*J32</f>
        <v>2992.5000000000005</v>
      </c>
      <c r="F26" s="162">
        <f>C37+C35+C50*3</f>
        <v>3548.97</v>
      </c>
      <c r="G26" s="77">
        <f t="shared" si="1"/>
        <v>6541.47</v>
      </c>
      <c r="H26"/>
    </row>
    <row r="27" spans="1:10" ht="27" customHeight="1" x14ac:dyDescent="0.2">
      <c r="A27" s="298"/>
      <c r="B27" s="162" t="s">
        <v>304</v>
      </c>
      <c r="C27" s="162" t="s">
        <v>255</v>
      </c>
      <c r="D27" s="162">
        <f>5.1</f>
        <v>5.0999999999999996</v>
      </c>
      <c r="E27" s="162">
        <f>D27*J32</f>
        <v>4360.5</v>
      </c>
      <c r="F27" s="162">
        <f>C41*4</f>
        <v>11585.76</v>
      </c>
      <c r="G27" s="77">
        <f t="shared" si="1"/>
        <v>15946.26</v>
      </c>
      <c r="H27"/>
    </row>
    <row r="28" spans="1:10" ht="72" customHeight="1" thickBot="1" x14ac:dyDescent="0.25">
      <c r="A28" s="163" t="s">
        <v>249</v>
      </c>
      <c r="B28" s="33" t="s">
        <v>207</v>
      </c>
      <c r="C28" s="33" t="s">
        <v>18</v>
      </c>
      <c r="D28" s="33">
        <f>1.6+0.6+0.3+0.7+0.6</f>
        <v>3.8000000000000003</v>
      </c>
      <c r="E28" s="33">
        <f>D28*J32</f>
        <v>3249.0000000000005</v>
      </c>
      <c r="F28" s="33">
        <f>C49*21+C51*20+C35+C50*3+C34*2+C48</f>
        <v>47460.03</v>
      </c>
      <c r="G28" s="86">
        <f t="shared" si="1"/>
        <v>50709.03</v>
      </c>
      <c r="H28"/>
    </row>
    <row r="29" spans="1:10" x14ac:dyDescent="0.2">
      <c r="A29" s="30"/>
      <c r="B29" s="17"/>
      <c r="C29" s="17"/>
      <c r="D29" s="17"/>
      <c r="E29" s="17"/>
      <c r="F29" s="17"/>
      <c r="G29" s="17"/>
      <c r="H29"/>
    </row>
    <row r="30" spans="1:10" ht="13.5" thickBot="1" x14ac:dyDescent="0.25">
      <c r="A30" s="30"/>
      <c r="D30" s="17"/>
      <c r="E30" s="17"/>
      <c r="F30" s="17"/>
      <c r="G30" s="17"/>
      <c r="H30"/>
    </row>
    <row r="31" spans="1:10" ht="16.5" thickBot="1" x14ac:dyDescent="0.25">
      <c r="A31" s="30"/>
      <c r="B31" s="90" t="s">
        <v>49</v>
      </c>
      <c r="C31" s="112" t="s">
        <v>121</v>
      </c>
      <c r="D31" s="17"/>
      <c r="E31" s="17"/>
      <c r="F31" s="17"/>
      <c r="G31" s="17"/>
      <c r="H31"/>
    </row>
    <row r="32" spans="1:10" ht="15" thickBot="1" x14ac:dyDescent="0.25">
      <c r="A32" s="30"/>
      <c r="B32" s="143" t="s">
        <v>155</v>
      </c>
      <c r="C32" s="125">
        <v>984.9</v>
      </c>
      <c r="D32" s="17"/>
      <c r="E32" s="17"/>
      <c r="H32"/>
      <c r="I32" s="118" t="s">
        <v>166</v>
      </c>
      <c r="J32" s="91">
        <v>855</v>
      </c>
    </row>
    <row r="33" spans="1:8" ht="14.25" x14ac:dyDescent="0.2">
      <c r="A33" s="30"/>
      <c r="B33" s="120" t="s">
        <v>449</v>
      </c>
      <c r="C33" s="149">
        <v>889.08</v>
      </c>
      <c r="D33" s="17"/>
      <c r="E33" s="17"/>
      <c r="F33" s="17"/>
      <c r="G33" s="17"/>
      <c r="H33"/>
    </row>
    <row r="34" spans="1:8" ht="14.25" x14ac:dyDescent="0.2">
      <c r="A34" s="30"/>
      <c r="B34" s="120" t="s">
        <v>450</v>
      </c>
      <c r="C34" s="126">
        <f>7408.86*2</f>
        <v>14817.72</v>
      </c>
      <c r="D34" s="17"/>
      <c r="E34" s="17"/>
      <c r="F34" s="17"/>
      <c r="G34" s="17"/>
      <c r="H34"/>
    </row>
    <row r="35" spans="1:8" ht="14.25" x14ac:dyDescent="0.2">
      <c r="A35" s="74"/>
      <c r="B35" s="120" t="s">
        <v>416</v>
      </c>
      <c r="C35" s="144">
        <v>1584.9</v>
      </c>
      <c r="D35" s="138"/>
      <c r="E35" s="74"/>
      <c r="F35" s="74"/>
      <c r="G35" s="74"/>
      <c r="H35"/>
    </row>
    <row r="36" spans="1:8" ht="14.25" x14ac:dyDescent="0.2">
      <c r="B36" s="120" t="s">
        <v>458</v>
      </c>
      <c r="C36" s="126">
        <v>2352.48</v>
      </c>
      <c r="D36" s="142"/>
      <c r="H36"/>
    </row>
    <row r="37" spans="1:8" ht="14.25" x14ac:dyDescent="0.2">
      <c r="B37" s="120" t="s">
        <v>459</v>
      </c>
      <c r="C37" s="126">
        <v>967.62</v>
      </c>
      <c r="D37" s="12"/>
      <c r="H37"/>
    </row>
    <row r="38" spans="1:8" ht="14.25" x14ac:dyDescent="0.2">
      <c r="B38" s="130" t="s">
        <v>460</v>
      </c>
      <c r="C38" s="197">
        <v>368.1</v>
      </c>
      <c r="D38" s="142"/>
      <c r="H38"/>
    </row>
    <row r="39" spans="1:8" ht="14.25" x14ac:dyDescent="0.2">
      <c r="B39" s="121" t="s">
        <v>472</v>
      </c>
      <c r="C39" s="148">
        <v>2059.08</v>
      </c>
      <c r="D39" s="142"/>
      <c r="H39"/>
    </row>
    <row r="40" spans="1:8" ht="14.25" x14ac:dyDescent="0.2">
      <c r="B40" s="121" t="s">
        <v>468</v>
      </c>
      <c r="C40" s="149">
        <v>4507.68</v>
      </c>
      <c r="D40" s="142"/>
      <c r="H40"/>
    </row>
    <row r="41" spans="1:8" ht="14.25" x14ac:dyDescent="0.2">
      <c r="B41" s="121" t="s">
        <v>470</v>
      </c>
      <c r="C41" s="144">
        <v>2896.44</v>
      </c>
      <c r="D41" s="142"/>
      <c r="H41"/>
    </row>
    <row r="42" spans="1:8" ht="14.25" x14ac:dyDescent="0.2">
      <c r="B42" s="120" t="s">
        <v>431</v>
      </c>
      <c r="C42" s="126">
        <v>213.24</v>
      </c>
      <c r="D42" s="142"/>
      <c r="H42"/>
    </row>
    <row r="43" spans="1:8" ht="14.25" x14ac:dyDescent="0.2">
      <c r="B43" s="120" t="s">
        <v>451</v>
      </c>
      <c r="C43" s="135">
        <v>188.16</v>
      </c>
      <c r="D43" s="142"/>
      <c r="H43"/>
    </row>
    <row r="44" spans="1:8" ht="14.25" x14ac:dyDescent="0.2">
      <c r="B44" s="120" t="s">
        <v>452</v>
      </c>
      <c r="C44" s="135">
        <v>260.60000000000002</v>
      </c>
      <c r="D44" s="142"/>
      <c r="H44"/>
    </row>
    <row r="45" spans="1:8" ht="14.25" x14ac:dyDescent="0.2">
      <c r="B45" s="120" t="s">
        <v>461</v>
      </c>
      <c r="C45" s="144">
        <v>248.4</v>
      </c>
      <c r="D45" s="142"/>
      <c r="H45"/>
    </row>
    <row r="46" spans="1:8" ht="14.25" x14ac:dyDescent="0.2">
      <c r="B46" s="120" t="s">
        <v>462</v>
      </c>
      <c r="C46" s="144">
        <v>996.4</v>
      </c>
      <c r="D46" s="142"/>
      <c r="H46"/>
    </row>
    <row r="47" spans="1:8" ht="14.25" x14ac:dyDescent="0.2">
      <c r="B47" s="120" t="s">
        <v>466</v>
      </c>
      <c r="C47" s="144">
        <v>1072.2</v>
      </c>
      <c r="D47" s="142"/>
      <c r="H47"/>
    </row>
    <row r="48" spans="1:8" ht="14.25" x14ac:dyDescent="0.2">
      <c r="B48" s="130" t="s">
        <v>435</v>
      </c>
      <c r="C48" s="126">
        <v>625.91999999999996</v>
      </c>
      <c r="D48" s="142"/>
      <c r="H48"/>
    </row>
    <row r="49" spans="1:8" ht="14.25" x14ac:dyDescent="0.2">
      <c r="B49" s="130" t="s">
        <v>436</v>
      </c>
      <c r="C49" s="126">
        <v>681.12</v>
      </c>
      <c r="D49" s="142"/>
      <c r="H49"/>
    </row>
    <row r="50" spans="1:8" ht="14.25" x14ac:dyDescent="0.2">
      <c r="B50" s="120" t="s">
        <v>464</v>
      </c>
      <c r="C50" s="144">
        <v>332.15</v>
      </c>
      <c r="D50" s="142"/>
      <c r="H50"/>
    </row>
    <row r="51" spans="1:8" ht="14.25" x14ac:dyDescent="0.2">
      <c r="A51"/>
      <c r="B51" s="130" t="s">
        <v>477</v>
      </c>
      <c r="C51" s="126">
        <v>15.69</v>
      </c>
      <c r="D51" s="142"/>
      <c r="E51"/>
      <c r="F51"/>
      <c r="G51"/>
      <c r="H51"/>
    </row>
    <row r="52" spans="1:8" ht="15" thickBot="1" x14ac:dyDescent="0.25">
      <c r="A52"/>
      <c r="B52" s="155" t="s">
        <v>48</v>
      </c>
      <c r="C52" s="145">
        <v>37.26</v>
      </c>
      <c r="D52" s="142"/>
      <c r="E52"/>
      <c r="F52"/>
      <c r="G52"/>
      <c r="H52"/>
    </row>
  </sheetData>
  <sheetProtection algorithmName="SHA-512" hashValue="UAMWesEMp6mi5X+pzWmAwoPbx8wtN4ItoN7EqzOw5FTtL8c1bVULy2A1yMeV8cXZIZ/ta1m8N43E6tVba33BKQ==" saltValue="4KSkCxXq3RGhhlNjjYhJcQ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23">
      <selection activeCell="C60" sqref="C60:C61"/>
      <colBreaks count="1" manualBreakCount="1">
        <brk id="8" min="7" max="62" man="1"/>
      </colBreaks>
      <pageMargins left="0.7" right="0.7" top="0.75" bottom="0.75" header="0.3" footer="0.3"/>
      <pageSetup paperSize="9" scale="60" orientation="portrait" r:id="rId1"/>
    </customSheetView>
  </customSheetViews>
  <mergeCells count="5">
    <mergeCell ref="A10:A22"/>
    <mergeCell ref="B10:B11"/>
    <mergeCell ref="B15:B16"/>
    <mergeCell ref="A26:A27"/>
    <mergeCell ref="A8:G8"/>
  </mergeCells>
  <pageMargins left="0.7" right="0.7" top="0.75" bottom="0.75" header="0.3" footer="0.3"/>
  <pageSetup paperSize="9" scale="60" orientation="portrait" r:id="rId2"/>
  <colBreaks count="1" manualBreakCount="1">
    <brk id="8" min="7" max="62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opLeftCell="A8" workbookViewId="0">
      <selection activeCell="B10" sqref="B10:B11"/>
    </sheetView>
  </sheetViews>
  <sheetFormatPr defaultRowHeight="12.75" x14ac:dyDescent="0.2"/>
  <cols>
    <col min="1" max="1" width="14" style="10" customWidth="1"/>
    <col min="2" max="2" width="70.140625" style="10" customWidth="1"/>
    <col min="3" max="3" width="35.140625" style="10" customWidth="1"/>
    <col min="4" max="4" width="12.140625" style="10" customWidth="1"/>
    <col min="5" max="5" width="14" style="10" customWidth="1"/>
    <col min="6" max="6" width="13.42578125" style="10" customWidth="1"/>
    <col min="7" max="7" width="13.7109375" style="10" customWidth="1"/>
    <col min="8" max="8" width="12.140625" style="10" hidden="1" customWidth="1"/>
    <col min="9" max="9" width="9.5703125" style="10" hidden="1" customWidth="1"/>
    <col min="10" max="10" width="11.28515625" hidden="1" customWidth="1"/>
    <col min="11" max="11" width="9.42578125" hidden="1" customWidth="1"/>
    <col min="12" max="12" width="22.28515625" hidden="1" customWidth="1"/>
    <col min="13" max="13" width="22.42578125" hidden="1" customWidth="1"/>
    <col min="14" max="14" width="7.5703125" hidden="1" customWidth="1"/>
    <col min="15" max="15" width="28.140625" hidden="1" customWidth="1"/>
    <col min="16" max="16" width="34.5703125" hidden="1" customWidth="1"/>
    <col min="17" max="17" width="37" hidden="1" customWidth="1"/>
  </cols>
  <sheetData>
    <row r="1" spans="1:9" ht="15.75" hidden="1" x14ac:dyDescent="0.25">
      <c r="A1" s="12"/>
      <c r="B1" s="12"/>
      <c r="C1" s="12"/>
      <c r="D1" s="12"/>
      <c r="F1" s="44" t="s">
        <v>118</v>
      </c>
      <c r="G1" s="44"/>
      <c r="H1" s="44"/>
      <c r="I1"/>
    </row>
    <row r="2" spans="1:9" ht="15.75" hidden="1" x14ac:dyDescent="0.25">
      <c r="A2" s="12"/>
      <c r="B2" s="12"/>
      <c r="C2" s="12"/>
      <c r="D2" s="12"/>
      <c r="F2" s="44" t="s">
        <v>119</v>
      </c>
      <c r="G2" s="44"/>
      <c r="H2" s="44"/>
      <c r="I2"/>
    </row>
    <row r="3" spans="1:9" ht="15.75" hidden="1" x14ac:dyDescent="0.25">
      <c r="A3" s="12"/>
      <c r="B3" s="12"/>
      <c r="C3" s="12"/>
      <c r="D3" s="12"/>
      <c r="F3" s="44" t="s">
        <v>120</v>
      </c>
      <c r="G3" s="44"/>
      <c r="H3" s="44"/>
      <c r="I3"/>
    </row>
    <row r="4" spans="1:9" ht="15.75" hidden="1" x14ac:dyDescent="0.25">
      <c r="A4" s="12"/>
      <c r="B4" s="12"/>
      <c r="C4" s="12"/>
      <c r="D4" s="12"/>
      <c r="F4" s="44"/>
      <c r="G4" s="44"/>
      <c r="H4" s="44"/>
      <c r="I4"/>
    </row>
    <row r="5" spans="1:9" ht="15.75" hidden="1" x14ac:dyDescent="0.25">
      <c r="A5" s="12"/>
      <c r="B5" s="12"/>
      <c r="C5" s="12"/>
      <c r="D5" s="12"/>
      <c r="F5" s="44"/>
      <c r="G5" s="44"/>
      <c r="H5" s="44"/>
      <c r="I5"/>
    </row>
    <row r="6" spans="1:9" ht="15.75" hidden="1" x14ac:dyDescent="0.25">
      <c r="A6" s="12"/>
      <c r="B6" s="12"/>
      <c r="C6" s="12"/>
      <c r="D6" s="12"/>
      <c r="F6" s="44" t="s">
        <v>179</v>
      </c>
      <c r="G6" s="44"/>
      <c r="H6" s="44"/>
      <c r="I6"/>
    </row>
    <row r="7" spans="1:9" ht="15" hidden="1" x14ac:dyDescent="0.2">
      <c r="A7" s="12"/>
      <c r="B7" s="47"/>
      <c r="C7" s="47"/>
      <c r="D7" s="47"/>
      <c r="F7" s="45"/>
      <c r="G7" s="45"/>
      <c r="H7" s="45"/>
      <c r="I7"/>
    </row>
    <row r="8" spans="1:9" ht="41.25" customHeight="1" thickBot="1" x14ac:dyDescent="0.25">
      <c r="A8" s="317" t="s">
        <v>380</v>
      </c>
      <c r="B8" s="324"/>
      <c r="C8" s="324"/>
      <c r="D8" s="324"/>
      <c r="E8" s="324"/>
      <c r="F8" s="324"/>
      <c r="G8" s="324"/>
      <c r="H8"/>
      <c r="I8"/>
    </row>
    <row r="9" spans="1:9" ht="48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43" t="s">
        <v>5</v>
      </c>
      <c r="H9" s="93" t="s">
        <v>87</v>
      </c>
    </row>
    <row r="10" spans="1:9" ht="38.25" x14ac:dyDescent="0.2">
      <c r="A10" s="320" t="s">
        <v>345</v>
      </c>
      <c r="B10" s="336" t="s">
        <v>346</v>
      </c>
      <c r="C10" s="234" t="s">
        <v>347</v>
      </c>
      <c r="D10" s="234">
        <v>4.2</v>
      </c>
      <c r="E10" s="234">
        <f>D10*K24</f>
        <v>3591</v>
      </c>
      <c r="F10" s="234">
        <f>C22+C23+C26+C28+C29+C30*39+C34+C37*2</f>
        <v>20780.320000000003</v>
      </c>
      <c r="G10" s="85">
        <f>E10+F10</f>
        <v>24371.320000000003</v>
      </c>
    </row>
    <row r="11" spans="1:9" ht="117.75" customHeight="1" x14ac:dyDescent="0.2">
      <c r="A11" s="287"/>
      <c r="B11" s="337"/>
      <c r="C11" s="231" t="s">
        <v>50</v>
      </c>
      <c r="D11" s="231">
        <v>1.6</v>
      </c>
      <c r="E11" s="231">
        <f>1.6*855</f>
        <v>1368</v>
      </c>
      <c r="F11" s="231">
        <v>2560.87</v>
      </c>
      <c r="G11" s="77">
        <f>476.8+2560.87</f>
        <v>3037.67</v>
      </c>
    </row>
    <row r="12" spans="1:9" ht="159" customHeight="1" x14ac:dyDescent="0.2">
      <c r="A12" s="232" t="s">
        <v>348</v>
      </c>
      <c r="B12" s="235" t="s">
        <v>349</v>
      </c>
      <c r="C12" s="233" t="s">
        <v>350</v>
      </c>
      <c r="D12" s="233">
        <v>2.8</v>
      </c>
      <c r="E12" s="233">
        <f>D12*K24</f>
        <v>2394</v>
      </c>
      <c r="F12" s="233">
        <f>C22+C23+C26+C29+C30*39+C34+C35+C37*2</f>
        <v>23435.02</v>
      </c>
      <c r="G12" s="77">
        <f t="shared" ref="G12:G20" si="0">E12+F12</f>
        <v>25829.02</v>
      </c>
    </row>
    <row r="13" spans="1:9" ht="146.25" customHeight="1" x14ac:dyDescent="0.2">
      <c r="A13" s="230" t="s">
        <v>351</v>
      </c>
      <c r="B13" s="236" t="s">
        <v>352</v>
      </c>
      <c r="C13" s="231" t="s">
        <v>353</v>
      </c>
      <c r="D13" s="231">
        <v>3.8</v>
      </c>
      <c r="E13" s="231">
        <f>D13*K24</f>
        <v>3249</v>
      </c>
      <c r="F13" s="231">
        <f>C22+C23+C26+C29+C30*39+C34+C33+C37*2</f>
        <v>115527.16</v>
      </c>
      <c r="G13" s="77">
        <f t="shared" si="0"/>
        <v>118776.16</v>
      </c>
    </row>
    <row r="14" spans="1:9" ht="159" customHeight="1" thickBot="1" x14ac:dyDescent="0.25">
      <c r="A14" s="230" t="s">
        <v>97</v>
      </c>
      <c r="B14" s="237" t="s">
        <v>354</v>
      </c>
      <c r="C14" s="233" t="s">
        <v>355</v>
      </c>
      <c r="D14" s="233">
        <v>4.5999999999999996</v>
      </c>
      <c r="E14" s="233">
        <v>3933</v>
      </c>
      <c r="F14" s="233">
        <f>C22+C23+C26+C28+C29+C30*39+C34+C35+C37*2</f>
        <v>24887.980000000003</v>
      </c>
      <c r="G14" s="77">
        <f t="shared" si="0"/>
        <v>28820.980000000003</v>
      </c>
    </row>
    <row r="15" spans="1:9" ht="148.5" customHeight="1" thickBot="1" x14ac:dyDescent="0.25">
      <c r="A15" s="230" t="s">
        <v>113</v>
      </c>
      <c r="B15" s="237" t="s">
        <v>356</v>
      </c>
      <c r="C15" s="234" t="s">
        <v>353</v>
      </c>
      <c r="D15" s="234">
        <v>3.8</v>
      </c>
      <c r="E15" s="234">
        <v>3249</v>
      </c>
      <c r="F15" s="234">
        <f>C22+C23+C26+C29+C30*39+C34+C37*2+C33</f>
        <v>115527.16</v>
      </c>
      <c r="G15" s="85">
        <f>E15+F15</f>
        <v>118776.16</v>
      </c>
    </row>
    <row r="16" spans="1:9" ht="109.5" customHeight="1" thickBot="1" x14ac:dyDescent="0.25">
      <c r="A16" s="230" t="s">
        <v>14</v>
      </c>
      <c r="B16" s="237" t="s">
        <v>357</v>
      </c>
      <c r="C16" s="234" t="s">
        <v>358</v>
      </c>
      <c r="D16" s="234">
        <v>2.9</v>
      </c>
      <c r="E16" s="234">
        <v>1305</v>
      </c>
      <c r="F16" s="234">
        <f>C25+C27+C34+C37*2</f>
        <v>8018.26</v>
      </c>
      <c r="G16" s="85">
        <f>E16+F16</f>
        <v>9323.26</v>
      </c>
    </row>
    <row r="17" spans="1:11" ht="109.5" customHeight="1" thickBot="1" x14ac:dyDescent="0.25">
      <c r="A17" s="230" t="s">
        <v>16</v>
      </c>
      <c r="B17" s="237" t="s">
        <v>359</v>
      </c>
      <c r="C17" s="234" t="s">
        <v>358</v>
      </c>
      <c r="D17" s="234">
        <v>2.9</v>
      </c>
      <c r="E17" s="234">
        <v>2479.5</v>
      </c>
      <c r="F17" s="234">
        <f>C25+C27+C34+C37*2</f>
        <v>8018.26</v>
      </c>
      <c r="G17" s="85">
        <f>E17+F17</f>
        <v>10497.76</v>
      </c>
    </row>
    <row r="18" spans="1:11" ht="176.25" customHeight="1" x14ac:dyDescent="0.2">
      <c r="A18" s="230" t="s">
        <v>249</v>
      </c>
      <c r="B18" s="237" t="s">
        <v>360</v>
      </c>
      <c r="C18" s="234" t="s">
        <v>361</v>
      </c>
      <c r="D18" s="234">
        <v>3.2</v>
      </c>
      <c r="E18" s="234">
        <v>2736</v>
      </c>
      <c r="F18" s="234">
        <f>C24+C25+C27+C34+C36*20+C38*30+C37*2</f>
        <v>28489.119999999999</v>
      </c>
      <c r="G18" s="85">
        <f>E18+F18</f>
        <v>31225.119999999999</v>
      </c>
    </row>
    <row r="19" spans="1:11" ht="108" customHeight="1" x14ac:dyDescent="0.2">
      <c r="A19" s="230" t="s">
        <v>362</v>
      </c>
      <c r="B19" s="237" t="s">
        <v>363</v>
      </c>
      <c r="C19" s="233" t="s">
        <v>364</v>
      </c>
      <c r="D19" s="233">
        <v>1</v>
      </c>
      <c r="E19" s="233">
        <v>855</v>
      </c>
      <c r="F19" s="233">
        <f>C32*10</f>
        <v>9964</v>
      </c>
      <c r="G19" s="77">
        <f t="shared" si="0"/>
        <v>10819</v>
      </c>
    </row>
    <row r="20" spans="1:11" ht="110.25" x14ac:dyDescent="0.2">
      <c r="A20" s="230" t="s">
        <v>365</v>
      </c>
      <c r="B20" s="237" t="s">
        <v>366</v>
      </c>
      <c r="C20" s="233" t="s">
        <v>367</v>
      </c>
      <c r="D20" s="233">
        <v>1</v>
      </c>
      <c r="E20" s="233">
        <f>D20*K24</f>
        <v>855</v>
      </c>
      <c r="F20" s="233">
        <f>C31*11</f>
        <v>10165.32</v>
      </c>
      <c r="G20" s="77">
        <f t="shared" si="0"/>
        <v>11020.32</v>
      </c>
    </row>
    <row r="21" spans="1:11" ht="18.75" thickBot="1" x14ac:dyDescent="0.25">
      <c r="B21" s="84" t="s">
        <v>49</v>
      </c>
      <c r="C21" s="151" t="s">
        <v>121</v>
      </c>
    </row>
    <row r="22" spans="1:11" ht="14.25" x14ac:dyDescent="0.2">
      <c r="B22" s="240" t="s">
        <v>155</v>
      </c>
      <c r="C22" s="153">
        <v>1664.28</v>
      </c>
    </row>
    <row r="23" spans="1:11" ht="15" thickBot="1" x14ac:dyDescent="0.25">
      <c r="B23" s="241" t="s">
        <v>449</v>
      </c>
      <c r="C23" s="149">
        <v>3640.68</v>
      </c>
    </row>
    <row r="24" spans="1:11" ht="18" customHeight="1" thickBot="1" x14ac:dyDescent="0.25">
      <c r="B24" s="241" t="s">
        <v>450</v>
      </c>
      <c r="C24" s="130">
        <v>6377.76</v>
      </c>
      <c r="D24" s="12"/>
      <c r="J24" s="118" t="s">
        <v>166</v>
      </c>
      <c r="K24" s="91">
        <v>855</v>
      </c>
    </row>
    <row r="25" spans="1:11" ht="14.25" x14ac:dyDescent="0.2">
      <c r="B25" s="241" t="s">
        <v>416</v>
      </c>
      <c r="C25" s="126">
        <v>3186.06</v>
      </c>
      <c r="D25" s="12"/>
    </row>
    <row r="26" spans="1:11" ht="14.25" x14ac:dyDescent="0.2">
      <c r="B26" s="241" t="s">
        <v>458</v>
      </c>
      <c r="C26" s="126">
        <v>2902.44</v>
      </c>
      <c r="D26" s="12"/>
    </row>
    <row r="27" spans="1:11" ht="14.25" x14ac:dyDescent="0.2">
      <c r="B27" s="120" t="s">
        <v>459</v>
      </c>
      <c r="C27" s="126">
        <v>2654.22</v>
      </c>
      <c r="D27" s="12"/>
    </row>
    <row r="28" spans="1:11" ht="14.25" x14ac:dyDescent="0.2">
      <c r="B28" s="241" t="s">
        <v>460</v>
      </c>
      <c r="C28" s="149">
        <v>1452.96</v>
      </c>
    </row>
    <row r="29" spans="1:11" ht="14.25" x14ac:dyDescent="0.2">
      <c r="B29" s="158" t="s">
        <v>393</v>
      </c>
      <c r="C29" s="144">
        <v>625.62</v>
      </c>
      <c r="D29" s="141"/>
    </row>
    <row r="30" spans="1:11" ht="14.25" x14ac:dyDescent="0.2">
      <c r="B30" s="120" t="s">
        <v>431</v>
      </c>
      <c r="C30" s="126">
        <v>213.24</v>
      </c>
    </row>
    <row r="31" spans="1:11" ht="14.25" x14ac:dyDescent="0.2">
      <c r="B31" s="241" t="s">
        <v>478</v>
      </c>
      <c r="C31" s="135">
        <v>924.12</v>
      </c>
    </row>
    <row r="32" spans="1:11" ht="14.25" x14ac:dyDescent="0.2">
      <c r="B32" s="120" t="s">
        <v>462</v>
      </c>
      <c r="C32" s="144">
        <v>996.4</v>
      </c>
    </row>
    <row r="33" spans="2:3" ht="14.25" x14ac:dyDescent="0.2">
      <c r="B33" s="241" t="s">
        <v>479</v>
      </c>
      <c r="C33" s="144">
        <f>48099.9*2</f>
        <v>96199.8</v>
      </c>
    </row>
    <row r="34" spans="2:3" ht="14.25" x14ac:dyDescent="0.2">
      <c r="B34" s="241" t="s">
        <v>480</v>
      </c>
      <c r="C34" s="144">
        <v>1513.68</v>
      </c>
    </row>
    <row r="35" spans="2:3" ht="14.25" x14ac:dyDescent="0.2">
      <c r="B35" s="241" t="s">
        <v>481</v>
      </c>
      <c r="C35" s="126">
        <v>4107.66</v>
      </c>
    </row>
    <row r="36" spans="2:3" ht="14.25" x14ac:dyDescent="0.2">
      <c r="B36" s="130" t="s">
        <v>436</v>
      </c>
      <c r="C36" s="126">
        <v>681.12</v>
      </c>
    </row>
    <row r="37" spans="2:3" ht="14.25" x14ac:dyDescent="0.2">
      <c r="B37" s="120" t="s">
        <v>464</v>
      </c>
      <c r="C37" s="144">
        <v>332.15</v>
      </c>
    </row>
    <row r="38" spans="2:3" ht="14.25" x14ac:dyDescent="0.2">
      <c r="B38" s="130" t="s">
        <v>438</v>
      </c>
      <c r="C38" s="126">
        <v>15.69</v>
      </c>
    </row>
  </sheetData>
  <sheetProtection algorithmName="SHA-512" hashValue="F6qXSW2JGk+QGXauhh3fyu9egOMEG2z01wkoKVaog8HrnokP5TPZR40qmMgVA3vEX9SJKm3k2xZgg4akwEcbsw==" saltValue="/wAcfoPDDCoERD3/G7UYmg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hiddenRows="1" hiddenColumns="1" topLeftCell="A23">
      <selection activeCell="E53" sqref="E53"/>
      <pageMargins left="0.7" right="0.7" top="0.75" bottom="0.75" header="0.3" footer="0.3"/>
    </customSheetView>
  </customSheetViews>
  <mergeCells count="3">
    <mergeCell ref="A8:G8"/>
    <mergeCell ref="A10:A11"/>
    <mergeCell ref="B10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B20" workbookViewId="0">
      <selection activeCell="B49" sqref="B49"/>
    </sheetView>
  </sheetViews>
  <sheetFormatPr defaultRowHeight="12.75" x14ac:dyDescent="0.2"/>
  <cols>
    <col min="1" max="1" width="16" style="12" customWidth="1"/>
    <col min="2" max="2" width="37.140625" style="12" customWidth="1"/>
    <col min="3" max="3" width="42.140625" style="12" customWidth="1"/>
    <col min="4" max="4" width="9.140625" style="12"/>
    <col min="5" max="5" width="14.7109375" style="12" customWidth="1"/>
    <col min="6" max="6" width="15" style="12" customWidth="1"/>
    <col min="7" max="7" width="13.85546875" style="12" customWidth="1"/>
    <col min="8" max="9" width="9.140625" hidden="1" customWidth="1"/>
    <col min="10" max="10" width="4.5703125" customWidth="1"/>
    <col min="11" max="11" width="15.85546875" customWidth="1"/>
    <col min="12" max="12" width="15" customWidth="1"/>
    <col min="13" max="13" width="14.140625" customWidth="1"/>
    <col min="14" max="14" width="25.28515625" customWidth="1"/>
    <col min="15" max="15" width="25.5703125" customWidth="1"/>
    <col min="16" max="16" width="25.7109375" customWidth="1"/>
    <col min="257" max="257" width="6.85546875" customWidth="1"/>
    <col min="258" max="258" width="37.140625" customWidth="1"/>
    <col min="259" max="259" width="41.7109375" customWidth="1"/>
    <col min="261" max="261" width="13.28515625" customWidth="1"/>
    <col min="262" max="262" width="12.85546875" customWidth="1"/>
    <col min="513" max="513" width="6.85546875" customWidth="1"/>
    <col min="514" max="514" width="37.140625" customWidth="1"/>
    <col min="515" max="515" width="41.7109375" customWidth="1"/>
    <col min="517" max="517" width="13.28515625" customWidth="1"/>
    <col min="518" max="518" width="12.85546875" customWidth="1"/>
    <col min="769" max="769" width="6.85546875" customWidth="1"/>
    <col min="770" max="770" width="37.140625" customWidth="1"/>
    <col min="771" max="771" width="41.7109375" customWidth="1"/>
    <col min="773" max="773" width="13.28515625" customWidth="1"/>
    <col min="774" max="774" width="12.85546875" customWidth="1"/>
    <col min="1025" max="1025" width="6.85546875" customWidth="1"/>
    <col min="1026" max="1026" width="37.140625" customWidth="1"/>
    <col min="1027" max="1027" width="41.7109375" customWidth="1"/>
    <col min="1029" max="1029" width="13.28515625" customWidth="1"/>
    <col min="1030" max="1030" width="12.85546875" customWidth="1"/>
    <col min="1281" max="1281" width="6.85546875" customWidth="1"/>
    <col min="1282" max="1282" width="37.140625" customWidth="1"/>
    <col min="1283" max="1283" width="41.7109375" customWidth="1"/>
    <col min="1285" max="1285" width="13.28515625" customWidth="1"/>
    <col min="1286" max="1286" width="12.85546875" customWidth="1"/>
    <col min="1537" max="1537" width="6.85546875" customWidth="1"/>
    <col min="1538" max="1538" width="37.140625" customWidth="1"/>
    <col min="1539" max="1539" width="41.7109375" customWidth="1"/>
    <col min="1541" max="1541" width="13.28515625" customWidth="1"/>
    <col min="1542" max="1542" width="12.85546875" customWidth="1"/>
    <col min="1793" max="1793" width="6.85546875" customWidth="1"/>
    <col min="1794" max="1794" width="37.140625" customWidth="1"/>
    <col min="1795" max="1795" width="41.7109375" customWidth="1"/>
    <col min="1797" max="1797" width="13.28515625" customWidth="1"/>
    <col min="1798" max="1798" width="12.85546875" customWidth="1"/>
    <col min="2049" max="2049" width="6.85546875" customWidth="1"/>
    <col min="2050" max="2050" width="37.140625" customWidth="1"/>
    <col min="2051" max="2051" width="41.7109375" customWidth="1"/>
    <col min="2053" max="2053" width="13.28515625" customWidth="1"/>
    <col min="2054" max="2054" width="12.85546875" customWidth="1"/>
    <col min="2305" max="2305" width="6.85546875" customWidth="1"/>
    <col min="2306" max="2306" width="37.140625" customWidth="1"/>
    <col min="2307" max="2307" width="41.7109375" customWidth="1"/>
    <col min="2309" max="2309" width="13.28515625" customWidth="1"/>
    <col min="2310" max="2310" width="12.85546875" customWidth="1"/>
    <col min="2561" max="2561" width="6.85546875" customWidth="1"/>
    <col min="2562" max="2562" width="37.140625" customWidth="1"/>
    <col min="2563" max="2563" width="41.7109375" customWidth="1"/>
    <col min="2565" max="2565" width="13.28515625" customWidth="1"/>
    <col min="2566" max="2566" width="12.85546875" customWidth="1"/>
    <col min="2817" max="2817" width="6.85546875" customWidth="1"/>
    <col min="2818" max="2818" width="37.140625" customWidth="1"/>
    <col min="2819" max="2819" width="41.7109375" customWidth="1"/>
    <col min="2821" max="2821" width="13.28515625" customWidth="1"/>
    <col min="2822" max="2822" width="12.85546875" customWidth="1"/>
    <col min="3073" max="3073" width="6.85546875" customWidth="1"/>
    <col min="3074" max="3074" width="37.140625" customWidth="1"/>
    <col min="3075" max="3075" width="41.7109375" customWidth="1"/>
    <col min="3077" max="3077" width="13.28515625" customWidth="1"/>
    <col min="3078" max="3078" width="12.85546875" customWidth="1"/>
    <col min="3329" max="3329" width="6.85546875" customWidth="1"/>
    <col min="3330" max="3330" width="37.140625" customWidth="1"/>
    <col min="3331" max="3331" width="41.7109375" customWidth="1"/>
    <col min="3333" max="3333" width="13.28515625" customWidth="1"/>
    <col min="3334" max="3334" width="12.85546875" customWidth="1"/>
    <col min="3585" max="3585" width="6.85546875" customWidth="1"/>
    <col min="3586" max="3586" width="37.140625" customWidth="1"/>
    <col min="3587" max="3587" width="41.7109375" customWidth="1"/>
    <col min="3589" max="3589" width="13.28515625" customWidth="1"/>
    <col min="3590" max="3590" width="12.85546875" customWidth="1"/>
    <col min="3841" max="3841" width="6.85546875" customWidth="1"/>
    <col min="3842" max="3842" width="37.140625" customWidth="1"/>
    <col min="3843" max="3843" width="41.7109375" customWidth="1"/>
    <col min="3845" max="3845" width="13.28515625" customWidth="1"/>
    <col min="3846" max="3846" width="12.85546875" customWidth="1"/>
    <col min="4097" max="4097" width="6.85546875" customWidth="1"/>
    <col min="4098" max="4098" width="37.140625" customWidth="1"/>
    <col min="4099" max="4099" width="41.7109375" customWidth="1"/>
    <col min="4101" max="4101" width="13.28515625" customWidth="1"/>
    <col min="4102" max="4102" width="12.85546875" customWidth="1"/>
    <col min="4353" max="4353" width="6.85546875" customWidth="1"/>
    <col min="4354" max="4354" width="37.140625" customWidth="1"/>
    <col min="4355" max="4355" width="41.7109375" customWidth="1"/>
    <col min="4357" max="4357" width="13.28515625" customWidth="1"/>
    <col min="4358" max="4358" width="12.85546875" customWidth="1"/>
    <col min="4609" max="4609" width="6.85546875" customWidth="1"/>
    <col min="4610" max="4610" width="37.140625" customWidth="1"/>
    <col min="4611" max="4611" width="41.7109375" customWidth="1"/>
    <col min="4613" max="4613" width="13.28515625" customWidth="1"/>
    <col min="4614" max="4614" width="12.85546875" customWidth="1"/>
    <col min="4865" max="4865" width="6.85546875" customWidth="1"/>
    <col min="4866" max="4866" width="37.140625" customWidth="1"/>
    <col min="4867" max="4867" width="41.7109375" customWidth="1"/>
    <col min="4869" max="4869" width="13.28515625" customWidth="1"/>
    <col min="4870" max="4870" width="12.85546875" customWidth="1"/>
    <col min="5121" max="5121" width="6.85546875" customWidth="1"/>
    <col min="5122" max="5122" width="37.140625" customWidth="1"/>
    <col min="5123" max="5123" width="41.7109375" customWidth="1"/>
    <col min="5125" max="5125" width="13.28515625" customWidth="1"/>
    <col min="5126" max="5126" width="12.85546875" customWidth="1"/>
    <col min="5377" max="5377" width="6.85546875" customWidth="1"/>
    <col min="5378" max="5378" width="37.140625" customWidth="1"/>
    <col min="5379" max="5379" width="41.7109375" customWidth="1"/>
    <col min="5381" max="5381" width="13.28515625" customWidth="1"/>
    <col min="5382" max="5382" width="12.85546875" customWidth="1"/>
    <col min="5633" max="5633" width="6.85546875" customWidth="1"/>
    <col min="5634" max="5634" width="37.140625" customWidth="1"/>
    <col min="5635" max="5635" width="41.7109375" customWidth="1"/>
    <col min="5637" max="5637" width="13.28515625" customWidth="1"/>
    <col min="5638" max="5638" width="12.85546875" customWidth="1"/>
    <col min="5889" max="5889" width="6.85546875" customWidth="1"/>
    <col min="5890" max="5890" width="37.140625" customWidth="1"/>
    <col min="5891" max="5891" width="41.7109375" customWidth="1"/>
    <col min="5893" max="5893" width="13.28515625" customWidth="1"/>
    <col min="5894" max="5894" width="12.85546875" customWidth="1"/>
    <col min="6145" max="6145" width="6.85546875" customWidth="1"/>
    <col min="6146" max="6146" width="37.140625" customWidth="1"/>
    <col min="6147" max="6147" width="41.7109375" customWidth="1"/>
    <col min="6149" max="6149" width="13.28515625" customWidth="1"/>
    <col min="6150" max="6150" width="12.85546875" customWidth="1"/>
    <col min="6401" max="6401" width="6.85546875" customWidth="1"/>
    <col min="6402" max="6402" width="37.140625" customWidth="1"/>
    <col min="6403" max="6403" width="41.7109375" customWidth="1"/>
    <col min="6405" max="6405" width="13.28515625" customWidth="1"/>
    <col min="6406" max="6406" width="12.85546875" customWidth="1"/>
    <col min="6657" max="6657" width="6.85546875" customWidth="1"/>
    <col min="6658" max="6658" width="37.140625" customWidth="1"/>
    <col min="6659" max="6659" width="41.7109375" customWidth="1"/>
    <col min="6661" max="6661" width="13.28515625" customWidth="1"/>
    <col min="6662" max="6662" width="12.85546875" customWidth="1"/>
    <col min="6913" max="6913" width="6.85546875" customWidth="1"/>
    <col min="6914" max="6914" width="37.140625" customWidth="1"/>
    <col min="6915" max="6915" width="41.7109375" customWidth="1"/>
    <col min="6917" max="6917" width="13.28515625" customWidth="1"/>
    <col min="6918" max="6918" width="12.85546875" customWidth="1"/>
    <col min="7169" max="7169" width="6.85546875" customWidth="1"/>
    <col min="7170" max="7170" width="37.140625" customWidth="1"/>
    <col min="7171" max="7171" width="41.7109375" customWidth="1"/>
    <col min="7173" max="7173" width="13.28515625" customWidth="1"/>
    <col min="7174" max="7174" width="12.85546875" customWidth="1"/>
    <col min="7425" max="7425" width="6.85546875" customWidth="1"/>
    <col min="7426" max="7426" width="37.140625" customWidth="1"/>
    <col min="7427" max="7427" width="41.7109375" customWidth="1"/>
    <col min="7429" max="7429" width="13.28515625" customWidth="1"/>
    <col min="7430" max="7430" width="12.85546875" customWidth="1"/>
    <col min="7681" max="7681" width="6.85546875" customWidth="1"/>
    <col min="7682" max="7682" width="37.140625" customWidth="1"/>
    <col min="7683" max="7683" width="41.7109375" customWidth="1"/>
    <col min="7685" max="7685" width="13.28515625" customWidth="1"/>
    <col min="7686" max="7686" width="12.85546875" customWidth="1"/>
    <col min="7937" max="7937" width="6.85546875" customWidth="1"/>
    <col min="7938" max="7938" width="37.140625" customWidth="1"/>
    <col min="7939" max="7939" width="41.7109375" customWidth="1"/>
    <col min="7941" max="7941" width="13.28515625" customWidth="1"/>
    <col min="7942" max="7942" width="12.85546875" customWidth="1"/>
    <col min="8193" max="8193" width="6.85546875" customWidth="1"/>
    <col min="8194" max="8194" width="37.140625" customWidth="1"/>
    <col min="8195" max="8195" width="41.7109375" customWidth="1"/>
    <col min="8197" max="8197" width="13.28515625" customWidth="1"/>
    <col min="8198" max="8198" width="12.85546875" customWidth="1"/>
    <col min="8449" max="8449" width="6.85546875" customWidth="1"/>
    <col min="8450" max="8450" width="37.140625" customWidth="1"/>
    <col min="8451" max="8451" width="41.7109375" customWidth="1"/>
    <col min="8453" max="8453" width="13.28515625" customWidth="1"/>
    <col min="8454" max="8454" width="12.85546875" customWidth="1"/>
    <col min="8705" max="8705" width="6.85546875" customWidth="1"/>
    <col min="8706" max="8706" width="37.140625" customWidth="1"/>
    <col min="8707" max="8707" width="41.7109375" customWidth="1"/>
    <col min="8709" max="8709" width="13.28515625" customWidth="1"/>
    <col min="8710" max="8710" width="12.85546875" customWidth="1"/>
    <col min="8961" max="8961" width="6.85546875" customWidth="1"/>
    <col min="8962" max="8962" width="37.140625" customWidth="1"/>
    <col min="8963" max="8963" width="41.7109375" customWidth="1"/>
    <col min="8965" max="8965" width="13.28515625" customWidth="1"/>
    <col min="8966" max="8966" width="12.85546875" customWidth="1"/>
    <col min="9217" max="9217" width="6.85546875" customWidth="1"/>
    <col min="9218" max="9218" width="37.140625" customWidth="1"/>
    <col min="9219" max="9219" width="41.7109375" customWidth="1"/>
    <col min="9221" max="9221" width="13.28515625" customWidth="1"/>
    <col min="9222" max="9222" width="12.85546875" customWidth="1"/>
    <col min="9473" max="9473" width="6.85546875" customWidth="1"/>
    <col min="9474" max="9474" width="37.140625" customWidth="1"/>
    <col min="9475" max="9475" width="41.7109375" customWidth="1"/>
    <col min="9477" max="9477" width="13.28515625" customWidth="1"/>
    <col min="9478" max="9478" width="12.85546875" customWidth="1"/>
    <col min="9729" max="9729" width="6.85546875" customWidth="1"/>
    <col min="9730" max="9730" width="37.140625" customWidth="1"/>
    <col min="9731" max="9731" width="41.7109375" customWidth="1"/>
    <col min="9733" max="9733" width="13.28515625" customWidth="1"/>
    <col min="9734" max="9734" width="12.85546875" customWidth="1"/>
    <col min="9985" max="9985" width="6.85546875" customWidth="1"/>
    <col min="9986" max="9986" width="37.140625" customWidth="1"/>
    <col min="9987" max="9987" width="41.7109375" customWidth="1"/>
    <col min="9989" max="9989" width="13.28515625" customWidth="1"/>
    <col min="9990" max="9990" width="12.85546875" customWidth="1"/>
    <col min="10241" max="10241" width="6.85546875" customWidth="1"/>
    <col min="10242" max="10242" width="37.140625" customWidth="1"/>
    <col min="10243" max="10243" width="41.7109375" customWidth="1"/>
    <col min="10245" max="10245" width="13.28515625" customWidth="1"/>
    <col min="10246" max="10246" width="12.85546875" customWidth="1"/>
    <col min="10497" max="10497" width="6.85546875" customWidth="1"/>
    <col min="10498" max="10498" width="37.140625" customWidth="1"/>
    <col min="10499" max="10499" width="41.7109375" customWidth="1"/>
    <col min="10501" max="10501" width="13.28515625" customWidth="1"/>
    <col min="10502" max="10502" width="12.85546875" customWidth="1"/>
    <col min="10753" max="10753" width="6.85546875" customWidth="1"/>
    <col min="10754" max="10754" width="37.140625" customWidth="1"/>
    <col min="10755" max="10755" width="41.7109375" customWidth="1"/>
    <col min="10757" max="10757" width="13.28515625" customWidth="1"/>
    <col min="10758" max="10758" width="12.85546875" customWidth="1"/>
    <col min="11009" max="11009" width="6.85546875" customWidth="1"/>
    <col min="11010" max="11010" width="37.140625" customWidth="1"/>
    <col min="11011" max="11011" width="41.7109375" customWidth="1"/>
    <col min="11013" max="11013" width="13.28515625" customWidth="1"/>
    <col min="11014" max="11014" width="12.85546875" customWidth="1"/>
    <col min="11265" max="11265" width="6.85546875" customWidth="1"/>
    <col min="11266" max="11266" width="37.140625" customWidth="1"/>
    <col min="11267" max="11267" width="41.7109375" customWidth="1"/>
    <col min="11269" max="11269" width="13.28515625" customWidth="1"/>
    <col min="11270" max="11270" width="12.85546875" customWidth="1"/>
    <col min="11521" max="11521" width="6.85546875" customWidth="1"/>
    <col min="11522" max="11522" width="37.140625" customWidth="1"/>
    <col min="11523" max="11523" width="41.7109375" customWidth="1"/>
    <col min="11525" max="11525" width="13.28515625" customWidth="1"/>
    <col min="11526" max="11526" width="12.85546875" customWidth="1"/>
    <col min="11777" max="11777" width="6.85546875" customWidth="1"/>
    <col min="11778" max="11778" width="37.140625" customWidth="1"/>
    <col min="11779" max="11779" width="41.7109375" customWidth="1"/>
    <col min="11781" max="11781" width="13.28515625" customWidth="1"/>
    <col min="11782" max="11782" width="12.85546875" customWidth="1"/>
    <col min="12033" max="12033" width="6.85546875" customWidth="1"/>
    <col min="12034" max="12034" width="37.140625" customWidth="1"/>
    <col min="12035" max="12035" width="41.7109375" customWidth="1"/>
    <col min="12037" max="12037" width="13.28515625" customWidth="1"/>
    <col min="12038" max="12038" width="12.85546875" customWidth="1"/>
    <col min="12289" max="12289" width="6.85546875" customWidth="1"/>
    <col min="12290" max="12290" width="37.140625" customWidth="1"/>
    <col min="12291" max="12291" width="41.7109375" customWidth="1"/>
    <col min="12293" max="12293" width="13.28515625" customWidth="1"/>
    <col min="12294" max="12294" width="12.85546875" customWidth="1"/>
    <col min="12545" max="12545" width="6.85546875" customWidth="1"/>
    <col min="12546" max="12546" width="37.140625" customWidth="1"/>
    <col min="12547" max="12547" width="41.7109375" customWidth="1"/>
    <col min="12549" max="12549" width="13.28515625" customWidth="1"/>
    <col min="12550" max="12550" width="12.85546875" customWidth="1"/>
    <col min="12801" max="12801" width="6.85546875" customWidth="1"/>
    <col min="12802" max="12802" width="37.140625" customWidth="1"/>
    <col min="12803" max="12803" width="41.7109375" customWidth="1"/>
    <col min="12805" max="12805" width="13.28515625" customWidth="1"/>
    <col min="12806" max="12806" width="12.85546875" customWidth="1"/>
    <col min="13057" max="13057" width="6.85546875" customWidth="1"/>
    <col min="13058" max="13058" width="37.140625" customWidth="1"/>
    <col min="13059" max="13059" width="41.7109375" customWidth="1"/>
    <col min="13061" max="13061" width="13.28515625" customWidth="1"/>
    <col min="13062" max="13062" width="12.85546875" customWidth="1"/>
    <col min="13313" max="13313" width="6.85546875" customWidth="1"/>
    <col min="13314" max="13314" width="37.140625" customWidth="1"/>
    <col min="13315" max="13315" width="41.7109375" customWidth="1"/>
    <col min="13317" max="13317" width="13.28515625" customWidth="1"/>
    <col min="13318" max="13318" width="12.85546875" customWidth="1"/>
    <col min="13569" max="13569" width="6.85546875" customWidth="1"/>
    <col min="13570" max="13570" width="37.140625" customWidth="1"/>
    <col min="13571" max="13571" width="41.7109375" customWidth="1"/>
    <col min="13573" max="13573" width="13.28515625" customWidth="1"/>
    <col min="13574" max="13574" width="12.85546875" customWidth="1"/>
    <col min="13825" max="13825" width="6.85546875" customWidth="1"/>
    <col min="13826" max="13826" width="37.140625" customWidth="1"/>
    <col min="13827" max="13827" width="41.7109375" customWidth="1"/>
    <col min="13829" max="13829" width="13.28515625" customWidth="1"/>
    <col min="13830" max="13830" width="12.85546875" customWidth="1"/>
    <col min="14081" max="14081" width="6.85546875" customWidth="1"/>
    <col min="14082" max="14082" width="37.140625" customWidth="1"/>
    <col min="14083" max="14083" width="41.7109375" customWidth="1"/>
    <col min="14085" max="14085" width="13.28515625" customWidth="1"/>
    <col min="14086" max="14086" width="12.85546875" customWidth="1"/>
    <col min="14337" max="14337" width="6.85546875" customWidth="1"/>
    <col min="14338" max="14338" width="37.140625" customWidth="1"/>
    <col min="14339" max="14339" width="41.7109375" customWidth="1"/>
    <col min="14341" max="14341" width="13.28515625" customWidth="1"/>
    <col min="14342" max="14342" width="12.85546875" customWidth="1"/>
    <col min="14593" max="14593" width="6.85546875" customWidth="1"/>
    <col min="14594" max="14594" width="37.140625" customWidth="1"/>
    <col min="14595" max="14595" width="41.7109375" customWidth="1"/>
    <col min="14597" max="14597" width="13.28515625" customWidth="1"/>
    <col min="14598" max="14598" width="12.85546875" customWidth="1"/>
    <col min="14849" max="14849" width="6.85546875" customWidth="1"/>
    <col min="14850" max="14850" width="37.140625" customWidth="1"/>
    <col min="14851" max="14851" width="41.7109375" customWidth="1"/>
    <col min="14853" max="14853" width="13.28515625" customWidth="1"/>
    <col min="14854" max="14854" width="12.85546875" customWidth="1"/>
    <col min="15105" max="15105" width="6.85546875" customWidth="1"/>
    <col min="15106" max="15106" width="37.140625" customWidth="1"/>
    <col min="15107" max="15107" width="41.7109375" customWidth="1"/>
    <col min="15109" max="15109" width="13.28515625" customWidth="1"/>
    <col min="15110" max="15110" width="12.85546875" customWidth="1"/>
    <col min="15361" max="15361" width="6.85546875" customWidth="1"/>
    <col min="15362" max="15362" width="37.140625" customWidth="1"/>
    <col min="15363" max="15363" width="41.7109375" customWidth="1"/>
    <col min="15365" max="15365" width="13.28515625" customWidth="1"/>
    <col min="15366" max="15366" width="12.85546875" customWidth="1"/>
    <col min="15617" max="15617" width="6.85546875" customWidth="1"/>
    <col min="15618" max="15618" width="37.140625" customWidth="1"/>
    <col min="15619" max="15619" width="41.7109375" customWidth="1"/>
    <col min="15621" max="15621" width="13.28515625" customWidth="1"/>
    <col min="15622" max="15622" width="12.85546875" customWidth="1"/>
    <col min="15873" max="15873" width="6.85546875" customWidth="1"/>
    <col min="15874" max="15874" width="37.140625" customWidth="1"/>
    <col min="15875" max="15875" width="41.7109375" customWidth="1"/>
    <col min="15877" max="15877" width="13.28515625" customWidth="1"/>
    <col min="15878" max="15878" width="12.85546875" customWidth="1"/>
    <col min="16129" max="16129" width="6.85546875" customWidth="1"/>
    <col min="16130" max="16130" width="37.140625" customWidth="1"/>
    <col min="16131" max="16131" width="41.7109375" customWidth="1"/>
    <col min="16133" max="16133" width="13.28515625" customWidth="1"/>
    <col min="16134" max="16134" width="12.85546875" customWidth="1"/>
  </cols>
  <sheetData>
    <row r="1" spans="1:14" ht="15.75" hidden="1" x14ac:dyDescent="0.25">
      <c r="E1" s="44" t="s">
        <v>118</v>
      </c>
      <c r="F1" s="44"/>
      <c r="G1" s="44"/>
      <c r="H1" s="44"/>
    </row>
    <row r="2" spans="1:14" ht="15.75" hidden="1" x14ac:dyDescent="0.25">
      <c r="E2" s="44" t="s">
        <v>119</v>
      </c>
      <c r="F2" s="44"/>
      <c r="G2" s="44"/>
      <c r="H2" s="44"/>
    </row>
    <row r="3" spans="1:14" ht="15.75" hidden="1" x14ac:dyDescent="0.25">
      <c r="E3" s="44" t="s">
        <v>120</v>
      </c>
      <c r="F3" s="44"/>
      <c r="G3" s="44"/>
      <c r="H3" s="44"/>
    </row>
    <row r="4" spans="1:14" ht="15.75" hidden="1" x14ac:dyDescent="0.25">
      <c r="E4" s="44"/>
      <c r="F4" s="44"/>
      <c r="G4" s="44"/>
      <c r="H4" s="44"/>
    </row>
    <row r="5" spans="1:14" ht="15.75" hidden="1" x14ac:dyDescent="0.25">
      <c r="E5" s="44"/>
      <c r="F5" s="44"/>
      <c r="G5" s="44"/>
      <c r="H5" s="44"/>
    </row>
    <row r="6" spans="1:14" ht="15.75" hidden="1" x14ac:dyDescent="0.25">
      <c r="E6" s="44" t="s">
        <v>179</v>
      </c>
      <c r="F6" s="44"/>
      <c r="G6" s="44"/>
      <c r="H6" s="44"/>
    </row>
    <row r="7" spans="1:14" ht="15" hidden="1" x14ac:dyDescent="0.2">
      <c r="B7" s="47"/>
      <c r="C7" s="47"/>
      <c r="D7" s="47"/>
      <c r="E7" s="45"/>
      <c r="F7" s="45"/>
      <c r="G7" s="45"/>
      <c r="H7" s="45"/>
    </row>
    <row r="8" spans="1:14" ht="44.25" customHeight="1" thickBot="1" x14ac:dyDescent="0.25">
      <c r="A8" s="293" t="s">
        <v>224</v>
      </c>
      <c r="B8" s="294"/>
      <c r="C8" s="294"/>
      <c r="D8" s="294"/>
      <c r="E8" s="294"/>
      <c r="F8" s="294"/>
      <c r="G8" s="294"/>
    </row>
    <row r="9" spans="1:14" ht="35.25" customHeight="1" thickBot="1" x14ac:dyDescent="0.25">
      <c r="A9" s="21" t="s">
        <v>0</v>
      </c>
      <c r="B9" s="22" t="s">
        <v>1</v>
      </c>
      <c r="C9" s="22" t="s">
        <v>4</v>
      </c>
      <c r="D9" s="22" t="s">
        <v>2</v>
      </c>
      <c r="E9" s="22" t="s">
        <v>3</v>
      </c>
      <c r="F9" s="22" t="s">
        <v>6</v>
      </c>
      <c r="G9" s="23" t="s">
        <v>5</v>
      </c>
      <c r="H9" s="1"/>
      <c r="I9" s="1"/>
      <c r="J9" s="1"/>
      <c r="K9" s="1"/>
    </row>
    <row r="10" spans="1:14" ht="33.75" customHeight="1" x14ac:dyDescent="0.2">
      <c r="A10" s="186">
        <v>25000</v>
      </c>
      <c r="B10" s="31" t="s">
        <v>145</v>
      </c>
      <c r="C10" s="31" t="s">
        <v>144</v>
      </c>
      <c r="D10" s="31">
        <v>1.2</v>
      </c>
      <c r="E10" s="31">
        <f t="shared" ref="E10:E16" si="0">D10*$J$40</f>
        <v>1020</v>
      </c>
      <c r="F10" s="31">
        <f>C30+C40+C34*9</f>
        <v>2677.1400000000003</v>
      </c>
      <c r="G10" s="34">
        <f t="shared" ref="G10:G16" si="1">E10+F10</f>
        <v>3697.1400000000003</v>
      </c>
      <c r="H10" s="1"/>
      <c r="I10" s="1"/>
      <c r="J10" s="1"/>
      <c r="K10" s="1"/>
    </row>
    <row r="11" spans="1:14" ht="38.25" x14ac:dyDescent="0.2">
      <c r="A11" s="286">
        <v>50000</v>
      </c>
      <c r="B11" s="288" t="s">
        <v>53</v>
      </c>
      <c r="C11" s="177" t="s">
        <v>146</v>
      </c>
      <c r="D11" s="177">
        <v>1.9</v>
      </c>
      <c r="E11" s="177">
        <f t="shared" si="0"/>
        <v>1615</v>
      </c>
      <c r="F11" s="177">
        <f>C30+C31+C32+C33+C34*9+C40+C46+C47</f>
        <v>8568.48</v>
      </c>
      <c r="G11" s="35">
        <f t="shared" si="1"/>
        <v>10183.48</v>
      </c>
      <c r="H11" s="1"/>
      <c r="I11" s="1"/>
      <c r="J11" s="1"/>
      <c r="K11" s="1"/>
    </row>
    <row r="12" spans="1:14" ht="25.5" customHeight="1" x14ac:dyDescent="0.2">
      <c r="A12" s="287"/>
      <c r="B12" s="289"/>
      <c r="C12" s="177" t="s">
        <v>167</v>
      </c>
      <c r="D12" s="177">
        <v>3.4</v>
      </c>
      <c r="E12" s="177">
        <f t="shared" si="0"/>
        <v>2890</v>
      </c>
      <c r="F12" s="177" t="e">
        <f>F11+F20</f>
        <v>#VALUE!</v>
      </c>
      <c r="G12" s="35" t="e">
        <f t="shared" si="1"/>
        <v>#VALUE!</v>
      </c>
      <c r="H12" s="1"/>
      <c r="I12" s="1"/>
      <c r="J12" s="1"/>
      <c r="K12" s="1"/>
    </row>
    <row r="13" spans="1:14" ht="25.5" x14ac:dyDescent="0.2">
      <c r="A13" s="187">
        <v>75000</v>
      </c>
      <c r="B13" s="180" t="s">
        <v>145</v>
      </c>
      <c r="C13" s="180" t="s">
        <v>144</v>
      </c>
      <c r="D13" s="180">
        <v>1.2</v>
      </c>
      <c r="E13" s="180">
        <f t="shared" si="0"/>
        <v>1020</v>
      </c>
      <c r="F13" s="180">
        <f>C30+C34*9+C40</f>
        <v>2677.1400000000003</v>
      </c>
      <c r="G13" s="35">
        <f t="shared" si="1"/>
        <v>3697.1400000000003</v>
      </c>
      <c r="H13" s="1"/>
      <c r="I13" s="1"/>
      <c r="J13" s="1"/>
      <c r="K13" s="1"/>
    </row>
    <row r="14" spans="1:14" ht="38.25" customHeight="1" x14ac:dyDescent="0.2">
      <c r="A14" s="187">
        <v>100000</v>
      </c>
      <c r="B14" s="176" t="s">
        <v>53</v>
      </c>
      <c r="C14" s="177" t="s">
        <v>146</v>
      </c>
      <c r="D14" s="177">
        <v>1.9</v>
      </c>
      <c r="E14" s="177">
        <f t="shared" si="0"/>
        <v>1615</v>
      </c>
      <c r="F14" s="177">
        <f>F11</f>
        <v>8568.48</v>
      </c>
      <c r="G14" s="35">
        <f t="shared" si="1"/>
        <v>10183.48</v>
      </c>
      <c r="H14" s="1"/>
      <c r="I14" s="1"/>
      <c r="J14" s="1"/>
      <c r="K14" s="1"/>
      <c r="N14" s="3"/>
    </row>
    <row r="15" spans="1:14" ht="27" customHeight="1" x14ac:dyDescent="0.2">
      <c r="A15" s="187">
        <v>125000</v>
      </c>
      <c r="B15" s="180" t="s">
        <v>145</v>
      </c>
      <c r="C15" s="180" t="s">
        <v>144</v>
      </c>
      <c r="D15" s="180">
        <v>1.2</v>
      </c>
      <c r="E15" s="180">
        <f t="shared" si="0"/>
        <v>1020</v>
      </c>
      <c r="F15" s="180">
        <f>C30+C34*9+C40</f>
        <v>2677.1400000000003</v>
      </c>
      <c r="G15" s="35">
        <f t="shared" si="1"/>
        <v>3697.1400000000003</v>
      </c>
      <c r="H15" s="1"/>
      <c r="I15" s="1"/>
      <c r="J15" s="1"/>
      <c r="K15" s="1"/>
    </row>
    <row r="16" spans="1:14" ht="38.25" x14ac:dyDescent="0.2">
      <c r="A16" s="187">
        <v>150000</v>
      </c>
      <c r="B16" s="176" t="s">
        <v>53</v>
      </c>
      <c r="C16" s="177" t="s">
        <v>146</v>
      </c>
      <c r="D16" s="177">
        <v>1.9</v>
      </c>
      <c r="E16" s="177">
        <f t="shared" si="0"/>
        <v>1615</v>
      </c>
      <c r="F16" s="176">
        <f>F11</f>
        <v>8568.48</v>
      </c>
      <c r="G16" s="35">
        <f t="shared" si="1"/>
        <v>10183.48</v>
      </c>
      <c r="H16" s="1"/>
      <c r="I16" s="1"/>
      <c r="J16" s="1"/>
      <c r="K16" s="1"/>
    </row>
    <row r="17" spans="1:11" ht="15.75" x14ac:dyDescent="0.2">
      <c r="A17" s="175" t="s">
        <v>55</v>
      </c>
      <c r="B17" s="180" t="s">
        <v>56</v>
      </c>
      <c r="C17" s="180" t="s">
        <v>57</v>
      </c>
      <c r="D17" s="180" t="s">
        <v>58</v>
      </c>
      <c r="E17" s="180" t="s">
        <v>59</v>
      </c>
      <c r="F17" s="180" t="s">
        <v>55</v>
      </c>
      <c r="G17" s="35" t="s">
        <v>60</v>
      </c>
      <c r="H17" s="1"/>
      <c r="I17" s="1"/>
      <c r="J17" s="1"/>
      <c r="K17" s="1"/>
    </row>
    <row r="18" spans="1:11" ht="38.25" x14ac:dyDescent="0.2">
      <c r="A18" s="286">
        <v>175000</v>
      </c>
      <c r="B18" s="288" t="s">
        <v>53</v>
      </c>
      <c r="C18" s="177" t="s">
        <v>146</v>
      </c>
      <c r="D18" s="177">
        <v>1.9</v>
      </c>
      <c r="E18" s="177">
        <f t="shared" ref="E18:E23" si="2">D18*$J$40</f>
        <v>1615</v>
      </c>
      <c r="F18" s="177">
        <f>F11</f>
        <v>8568.48</v>
      </c>
      <c r="G18" s="35">
        <f t="shared" ref="G18:G27" si="3">E18+F18</f>
        <v>10183.48</v>
      </c>
      <c r="H18" s="1"/>
      <c r="I18" s="1"/>
      <c r="J18" s="1"/>
      <c r="K18" s="1"/>
    </row>
    <row r="19" spans="1:11" ht="15.75" x14ac:dyDescent="0.2">
      <c r="A19" s="287"/>
      <c r="B19" s="289"/>
      <c r="C19" s="177" t="s">
        <v>54</v>
      </c>
      <c r="D19" s="177">
        <v>3.4</v>
      </c>
      <c r="E19" s="177">
        <f t="shared" si="2"/>
        <v>2890</v>
      </c>
      <c r="F19" s="177" t="e">
        <f>F12</f>
        <v>#VALUE!</v>
      </c>
      <c r="G19" s="35" t="e">
        <f t="shared" si="3"/>
        <v>#VALUE!</v>
      </c>
      <c r="H19" s="1"/>
      <c r="I19" s="1"/>
      <c r="J19" s="1"/>
      <c r="K19" s="1"/>
    </row>
    <row r="20" spans="1:11" ht="15.75" x14ac:dyDescent="0.2">
      <c r="A20" s="188">
        <v>120000</v>
      </c>
      <c r="B20" s="179" t="s">
        <v>61</v>
      </c>
      <c r="C20" s="180" t="s">
        <v>386</v>
      </c>
      <c r="D20" s="179">
        <v>1.5</v>
      </c>
      <c r="E20" s="180">
        <f t="shared" si="2"/>
        <v>1275</v>
      </c>
      <c r="F20" s="180" t="e">
        <f>C37*9+C42+C43+C44</f>
        <v>#VALUE!</v>
      </c>
      <c r="G20" s="35" t="e">
        <f t="shared" si="3"/>
        <v>#VALUE!</v>
      </c>
      <c r="H20" s="1"/>
      <c r="I20" s="1"/>
      <c r="J20" s="1"/>
      <c r="K20" s="1"/>
    </row>
    <row r="21" spans="1:11" ht="15.75" x14ac:dyDescent="0.2">
      <c r="A21" s="178" t="s">
        <v>225</v>
      </c>
      <c r="B21" s="176" t="s">
        <v>63</v>
      </c>
      <c r="C21" s="177" t="s">
        <v>184</v>
      </c>
      <c r="D21" s="176">
        <v>0.2</v>
      </c>
      <c r="E21" s="177">
        <f t="shared" si="2"/>
        <v>170</v>
      </c>
      <c r="F21" s="176">
        <f>C36*2</f>
        <v>2284.44</v>
      </c>
      <c r="G21" s="35">
        <f t="shared" si="3"/>
        <v>2454.44</v>
      </c>
      <c r="H21" s="1"/>
      <c r="I21" s="1"/>
      <c r="J21" s="1"/>
      <c r="K21" s="1"/>
    </row>
    <row r="22" spans="1:11" ht="15.75" x14ac:dyDescent="0.2">
      <c r="A22" s="175" t="s">
        <v>225</v>
      </c>
      <c r="B22" s="179" t="s">
        <v>64</v>
      </c>
      <c r="C22" s="180" t="s">
        <v>185</v>
      </c>
      <c r="D22" s="179">
        <v>0.2</v>
      </c>
      <c r="E22" s="180">
        <f t="shared" si="2"/>
        <v>170</v>
      </c>
      <c r="F22" s="180">
        <f>C45*1.5</f>
        <v>1071</v>
      </c>
      <c r="G22" s="35">
        <f t="shared" si="3"/>
        <v>1241</v>
      </c>
      <c r="H22" s="1"/>
      <c r="I22" s="1"/>
      <c r="J22" s="1"/>
      <c r="K22" s="1"/>
    </row>
    <row r="23" spans="1:11" ht="15.75" x14ac:dyDescent="0.2">
      <c r="A23" s="175" t="s">
        <v>65</v>
      </c>
      <c r="B23" s="176" t="s">
        <v>66</v>
      </c>
      <c r="C23" s="176" t="s">
        <v>7</v>
      </c>
      <c r="D23" s="176">
        <v>0.8</v>
      </c>
      <c r="E23" s="177">
        <f t="shared" si="2"/>
        <v>680</v>
      </c>
      <c r="F23" s="176">
        <f>C38</f>
        <v>625.91999999999996</v>
      </c>
      <c r="G23" s="35">
        <f>F23+E23</f>
        <v>1305.92</v>
      </c>
      <c r="H23" s="1"/>
      <c r="I23" s="1"/>
      <c r="J23" s="1"/>
      <c r="K23" s="1"/>
    </row>
    <row r="24" spans="1:11" ht="15.75" x14ac:dyDescent="0.2">
      <c r="A24" s="175" t="s">
        <v>67</v>
      </c>
      <c r="B24" s="180" t="s">
        <v>143</v>
      </c>
      <c r="C24" s="239" t="s">
        <v>387</v>
      </c>
      <c r="D24" s="179">
        <v>0.8</v>
      </c>
      <c r="E24" s="180">
        <f>J40*D24</f>
        <v>680</v>
      </c>
      <c r="F24" s="179">
        <f>C41*5+C39*3</f>
        <v>2121.81</v>
      </c>
      <c r="G24" s="35">
        <f t="shared" si="3"/>
        <v>2801.81</v>
      </c>
      <c r="H24" s="1"/>
      <c r="I24" s="1"/>
      <c r="J24" s="1"/>
      <c r="K24" s="1"/>
    </row>
    <row r="25" spans="1:11" ht="52.5" customHeight="1" x14ac:dyDescent="0.2">
      <c r="A25" s="113"/>
      <c r="B25" s="290" t="s">
        <v>178</v>
      </c>
      <c r="C25" s="291"/>
      <c r="D25" s="291"/>
      <c r="E25" s="291"/>
      <c r="F25" s="292"/>
      <c r="G25" s="114"/>
      <c r="H25" s="1"/>
      <c r="I25" s="1"/>
      <c r="J25" s="1"/>
      <c r="K25" s="1"/>
    </row>
    <row r="26" spans="1:11" ht="30.75" customHeight="1" x14ac:dyDescent="0.2">
      <c r="A26" s="187">
        <v>25000</v>
      </c>
      <c r="B26" s="180" t="s">
        <v>145</v>
      </c>
      <c r="C26" s="180" t="s">
        <v>147</v>
      </c>
      <c r="D26" s="180">
        <v>1.2</v>
      </c>
      <c r="E26" s="180">
        <f>J40*D26</f>
        <v>1020</v>
      </c>
      <c r="F26" s="180">
        <f>C30+C35*9+C40</f>
        <v>3414.7799999999997</v>
      </c>
      <c r="G26" s="35">
        <f t="shared" si="3"/>
        <v>4434.78</v>
      </c>
      <c r="H26" s="1"/>
      <c r="I26" s="1"/>
      <c r="J26" s="1"/>
      <c r="K26" s="1"/>
    </row>
    <row r="27" spans="1:11" ht="39" thickBot="1" x14ac:dyDescent="0.25">
      <c r="A27" s="189">
        <v>50000</v>
      </c>
      <c r="B27" s="32" t="s">
        <v>53</v>
      </c>
      <c r="C27" s="33" t="s">
        <v>177</v>
      </c>
      <c r="D27" s="33">
        <v>1.9</v>
      </c>
      <c r="E27" s="33">
        <f>J40*D27</f>
        <v>1615</v>
      </c>
      <c r="F27" s="32">
        <f>C30+C31+C32+C35*9+C40+C46+C47+C33</f>
        <v>9306.119999999999</v>
      </c>
      <c r="G27" s="37">
        <f t="shared" si="3"/>
        <v>10921.119999999999</v>
      </c>
      <c r="H27" s="1"/>
      <c r="I27" s="1"/>
      <c r="J27" s="1"/>
      <c r="K27" s="1"/>
    </row>
    <row r="28" spans="1:11" ht="13.5" thickBot="1" x14ac:dyDescent="0.25">
      <c r="A28" s="16"/>
      <c r="B28" s="282" t="s">
        <v>180</v>
      </c>
      <c r="C28" s="282"/>
      <c r="D28" s="17"/>
      <c r="E28" s="17"/>
      <c r="F28" s="17"/>
      <c r="G28" s="17"/>
      <c r="H28" s="1"/>
      <c r="I28" s="1"/>
      <c r="J28" s="1"/>
      <c r="K28" s="1"/>
    </row>
    <row r="29" spans="1:11" ht="18.75" thickBot="1" x14ac:dyDescent="0.3">
      <c r="A29" s="16"/>
      <c r="B29" s="128" t="s">
        <v>49</v>
      </c>
      <c r="C29" s="124" t="s">
        <v>121</v>
      </c>
      <c r="D29" s="17"/>
      <c r="E29" s="17"/>
      <c r="F29" s="17"/>
      <c r="G29" s="17"/>
      <c r="H29" s="1"/>
      <c r="I29" s="1"/>
      <c r="J29" s="1"/>
      <c r="K29" s="1"/>
    </row>
    <row r="30" spans="1:11" ht="14.25" x14ac:dyDescent="0.2">
      <c r="A30" s="16"/>
      <c r="B30" s="129" t="s">
        <v>427</v>
      </c>
      <c r="C30" s="125">
        <v>722.16</v>
      </c>
      <c r="D30" s="17"/>
      <c r="E30" s="17"/>
      <c r="F30" s="17"/>
      <c r="G30" s="17"/>
      <c r="H30" s="1"/>
      <c r="I30" s="1"/>
      <c r="J30" s="1"/>
      <c r="K30" s="1"/>
    </row>
    <row r="31" spans="1:11" ht="14.25" x14ac:dyDescent="0.2">
      <c r="A31" s="16"/>
      <c r="B31" s="130" t="s">
        <v>428</v>
      </c>
      <c r="C31" s="126">
        <v>3229.74</v>
      </c>
      <c r="D31" s="17"/>
      <c r="E31" s="17"/>
      <c r="F31" s="17"/>
      <c r="G31" s="17"/>
      <c r="H31" s="1"/>
      <c r="I31" s="1"/>
      <c r="J31" s="1"/>
      <c r="K31" s="1"/>
    </row>
    <row r="32" spans="1:11" ht="14.25" x14ac:dyDescent="0.2">
      <c r="A32" s="16"/>
      <c r="B32" s="130" t="s">
        <v>429</v>
      </c>
      <c r="C32" s="126">
        <v>611.04</v>
      </c>
      <c r="D32" s="17"/>
      <c r="E32" s="17"/>
      <c r="F32" s="17"/>
      <c r="G32" s="17"/>
      <c r="H32" s="1"/>
      <c r="I32" s="1"/>
      <c r="J32" s="1"/>
      <c r="K32" s="1"/>
    </row>
    <row r="33" spans="1:11" ht="14.25" x14ac:dyDescent="0.2">
      <c r="A33" s="16"/>
      <c r="B33" s="130" t="s">
        <v>430</v>
      </c>
      <c r="C33" s="126">
        <v>1851.48</v>
      </c>
      <c r="D33" s="17"/>
      <c r="E33" s="17"/>
      <c r="F33" s="17"/>
      <c r="G33" s="17"/>
      <c r="H33" s="1"/>
      <c r="I33" s="1"/>
      <c r="J33" s="1"/>
      <c r="K33" s="1"/>
    </row>
    <row r="34" spans="1:11" ht="14.25" x14ac:dyDescent="0.2">
      <c r="A34" s="16"/>
      <c r="B34" s="120" t="s">
        <v>431</v>
      </c>
      <c r="C34" s="126">
        <v>213.24</v>
      </c>
      <c r="D34" s="17"/>
      <c r="E34" s="17"/>
      <c r="F34" s="17"/>
      <c r="G34" s="17"/>
      <c r="H34" s="1"/>
      <c r="I34" s="1"/>
      <c r="J34" s="1"/>
      <c r="K34" s="1"/>
    </row>
    <row r="35" spans="1:11" ht="34.5" customHeight="1" x14ac:dyDescent="0.2">
      <c r="A35" s="16"/>
      <c r="B35" s="130" t="s">
        <v>432</v>
      </c>
      <c r="C35" s="126">
        <v>295.2</v>
      </c>
      <c r="D35" s="17"/>
      <c r="E35" s="17"/>
      <c r="F35" s="17"/>
      <c r="G35" s="17"/>
      <c r="H35" s="1"/>
      <c r="I35" s="1"/>
      <c r="J35" s="1"/>
      <c r="K35" s="1"/>
    </row>
    <row r="36" spans="1:11" ht="14.25" x14ac:dyDescent="0.2">
      <c r="A36" s="16"/>
      <c r="B36" s="130" t="s">
        <v>433</v>
      </c>
      <c r="C36" s="126">
        <v>1142.22</v>
      </c>
      <c r="D36" s="17"/>
      <c r="E36" s="17"/>
      <c r="F36" s="17"/>
      <c r="G36" s="17"/>
      <c r="H36" s="1"/>
      <c r="I36" s="1"/>
      <c r="J36" s="1"/>
      <c r="K36" s="1"/>
    </row>
    <row r="37" spans="1:11" ht="14.25" x14ac:dyDescent="0.2">
      <c r="A37" s="16"/>
      <c r="B37" s="130" t="s">
        <v>434</v>
      </c>
      <c r="C37" s="126">
        <v>914.22</v>
      </c>
      <c r="D37" s="17"/>
      <c r="E37" s="17"/>
      <c r="F37" s="17"/>
      <c r="G37" s="17"/>
      <c r="H37" s="1"/>
      <c r="I37" s="1"/>
      <c r="J37" s="1"/>
      <c r="K37" s="1"/>
    </row>
    <row r="38" spans="1:11" ht="14.25" x14ac:dyDescent="0.2">
      <c r="A38" s="16"/>
      <c r="B38" s="130" t="s">
        <v>435</v>
      </c>
      <c r="C38" s="126">
        <v>625.91999999999996</v>
      </c>
      <c r="D38" s="17"/>
      <c r="E38" s="17"/>
      <c r="F38" s="17"/>
      <c r="G38" s="17"/>
      <c r="H38" s="1"/>
      <c r="I38" s="1"/>
      <c r="J38" s="1"/>
      <c r="K38" s="1"/>
    </row>
    <row r="39" spans="1:11" ht="15" thickBot="1" x14ac:dyDescent="0.25">
      <c r="A39" s="16"/>
      <c r="B39" s="130" t="s">
        <v>436</v>
      </c>
      <c r="C39" s="126">
        <v>681.12</v>
      </c>
      <c r="D39" s="17"/>
      <c r="E39" s="17"/>
      <c r="F39" s="17"/>
      <c r="G39" s="17"/>
      <c r="H39" s="1"/>
      <c r="I39" s="1"/>
      <c r="J39" s="1"/>
      <c r="K39" s="1"/>
    </row>
    <row r="40" spans="1:11" ht="26.25" thickBot="1" x14ac:dyDescent="0.25">
      <c r="A40" s="16"/>
      <c r="B40" s="130" t="s">
        <v>437</v>
      </c>
      <c r="C40" s="126">
        <v>35.82</v>
      </c>
      <c r="D40" s="17"/>
      <c r="E40" s="17"/>
      <c r="H40" s="1"/>
      <c r="I40" s="118" t="s">
        <v>69</v>
      </c>
      <c r="J40" s="119">
        <v>850</v>
      </c>
      <c r="K40" s="1"/>
    </row>
    <row r="41" spans="1:11" ht="14.25" x14ac:dyDescent="0.2">
      <c r="A41" s="16"/>
      <c r="B41" s="130" t="s">
        <v>438</v>
      </c>
      <c r="C41" s="126">
        <v>15.69</v>
      </c>
      <c r="D41" s="17"/>
      <c r="E41" s="17"/>
      <c r="F41" s="17"/>
      <c r="G41" s="17"/>
      <c r="H41" s="1"/>
      <c r="I41" s="1"/>
      <c r="J41" s="1"/>
      <c r="K41" s="1"/>
    </row>
    <row r="42" spans="1:11" ht="14.25" x14ac:dyDescent="0.2">
      <c r="A42" s="16"/>
      <c r="B42" s="130" t="s">
        <v>439</v>
      </c>
      <c r="C42" s="126">
        <v>536.22</v>
      </c>
      <c r="D42" s="17"/>
      <c r="E42" s="17"/>
      <c r="F42" s="17"/>
      <c r="G42" s="17"/>
      <c r="H42" s="1"/>
      <c r="I42" s="1"/>
      <c r="J42" s="1"/>
      <c r="K42" s="1"/>
    </row>
    <row r="43" spans="1:11" ht="14.25" x14ac:dyDescent="0.2">
      <c r="A43" s="16"/>
      <c r="B43" s="130" t="s">
        <v>440</v>
      </c>
      <c r="C43" s="126">
        <v>36.9</v>
      </c>
      <c r="D43" s="17"/>
      <c r="E43" s="17"/>
      <c r="F43" s="17"/>
      <c r="G43" s="17"/>
      <c r="H43" s="1"/>
      <c r="I43" s="1"/>
      <c r="J43" s="1"/>
      <c r="K43" s="1"/>
    </row>
    <row r="44" spans="1:11" ht="14.25" x14ac:dyDescent="0.2">
      <c r="A44" s="16"/>
      <c r="B44" s="130" t="s">
        <v>441</v>
      </c>
      <c r="C44" s="126" t="s">
        <v>394</v>
      </c>
      <c r="D44" s="17"/>
      <c r="E44" s="17"/>
      <c r="F44" s="17"/>
      <c r="G44" s="17"/>
      <c r="H44" s="1"/>
      <c r="I44" s="1"/>
      <c r="J44" s="1"/>
      <c r="K44" s="1"/>
    </row>
    <row r="45" spans="1:11" ht="14.25" x14ac:dyDescent="0.2">
      <c r="A45" s="16"/>
      <c r="B45" s="130" t="s">
        <v>442</v>
      </c>
      <c r="C45" s="126">
        <v>714</v>
      </c>
      <c r="D45" s="17"/>
      <c r="E45" s="17"/>
      <c r="F45" s="17"/>
      <c r="G45" s="17"/>
      <c r="H45" s="1"/>
      <c r="I45" s="1"/>
      <c r="J45" s="1"/>
      <c r="K45" s="1"/>
    </row>
    <row r="46" spans="1:11" ht="14.25" x14ac:dyDescent="0.2">
      <c r="A46" s="18"/>
      <c r="B46" s="130" t="s">
        <v>443</v>
      </c>
      <c r="C46" s="126">
        <v>94.26</v>
      </c>
    </row>
    <row r="47" spans="1:11" ht="15" thickBot="1" x14ac:dyDescent="0.25">
      <c r="A47" s="18"/>
      <c r="B47" s="131" t="s">
        <v>444</v>
      </c>
      <c r="C47" s="127">
        <v>104.82</v>
      </c>
    </row>
    <row r="48" spans="1:11" ht="15" x14ac:dyDescent="0.2">
      <c r="B48" s="29"/>
      <c r="C48" s="29"/>
    </row>
    <row r="49" spans="2:3" customFormat="1" ht="15" x14ac:dyDescent="0.2">
      <c r="B49" s="29"/>
      <c r="C49" s="29"/>
    </row>
    <row r="50" spans="2:3" customFormat="1" ht="15" x14ac:dyDescent="0.2">
      <c r="B50" s="29"/>
      <c r="C50" s="29"/>
    </row>
    <row r="51" spans="2:3" customFormat="1" ht="15" x14ac:dyDescent="0.2">
      <c r="B51" s="29"/>
      <c r="C51" s="29"/>
    </row>
    <row r="52" spans="2:3" customFormat="1" ht="15" x14ac:dyDescent="0.2">
      <c r="B52" s="29"/>
      <c r="C52" s="29"/>
    </row>
    <row r="53" spans="2:3" customFormat="1" ht="15" x14ac:dyDescent="0.2">
      <c r="B53" s="29"/>
      <c r="C53" s="29"/>
    </row>
    <row r="54" spans="2:3" customFormat="1" ht="15" x14ac:dyDescent="0.2">
      <c r="B54" s="29"/>
      <c r="C54" s="29"/>
    </row>
    <row r="55" spans="2:3" customFormat="1" ht="15" x14ac:dyDescent="0.2">
      <c r="B55" s="29"/>
      <c r="C55" s="29"/>
    </row>
    <row r="56" spans="2:3" customFormat="1" ht="15" x14ac:dyDescent="0.2">
      <c r="B56" s="29"/>
      <c r="C56" s="29"/>
    </row>
    <row r="57" spans="2:3" customFormat="1" x14ac:dyDescent="0.2">
      <c r="B57" s="17"/>
      <c r="C57" s="17"/>
    </row>
    <row r="58" spans="2:3" customFormat="1" x14ac:dyDescent="0.2">
      <c r="B58" s="17"/>
      <c r="C58" s="17"/>
    </row>
    <row r="59" spans="2:3" customFormat="1" x14ac:dyDescent="0.2">
      <c r="B59" s="17"/>
      <c r="C59" s="17"/>
    </row>
    <row r="60" spans="2:3" customFormat="1" x14ac:dyDescent="0.2">
      <c r="B60" s="17"/>
      <c r="C60" s="17"/>
    </row>
    <row r="61" spans="2:3" customFormat="1" x14ac:dyDescent="0.2">
      <c r="B61" s="17"/>
      <c r="C61" s="17"/>
    </row>
  </sheetData>
  <sheetProtection algorithmName="SHA-512" hashValue="EUhoUHySqqrqAA4oNEnHC9+nJmqb4jgVxDEEFAXL1ZVuuqAvkSvsgfKFph8vJFdoNTWUDUCGakRKyxjwBkBwIg==" saltValue="zr9rNYdlByO3OPNWvGKGWw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hiddenRows="1" hiddenColumns="1" topLeftCell="B20">
      <selection activeCell="B49" sqref="B49"/>
      <pageMargins left="0.7" right="0.7" top="0.75" bottom="0.75" header="0.3" footer="0.3"/>
      <pageSetup paperSize="9" orientation="portrait" r:id="rId1"/>
    </customSheetView>
  </customSheetViews>
  <mergeCells count="7">
    <mergeCell ref="B28:C28"/>
    <mergeCell ref="A8:G8"/>
    <mergeCell ref="A11:A12"/>
    <mergeCell ref="B11:B12"/>
    <mergeCell ref="A18:A19"/>
    <mergeCell ref="B18:B19"/>
    <mergeCell ref="B25:F2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8" workbookViewId="0">
      <selection activeCell="C16" sqref="C16"/>
    </sheetView>
  </sheetViews>
  <sheetFormatPr defaultRowHeight="12.75" x14ac:dyDescent="0.2"/>
  <cols>
    <col min="1" max="1" width="16" style="12" customWidth="1"/>
    <col min="2" max="2" width="37.140625" style="12" customWidth="1"/>
    <col min="3" max="3" width="42.140625" style="12" customWidth="1"/>
    <col min="4" max="4" width="9.140625" style="12"/>
    <col min="5" max="5" width="14.7109375" style="12" customWidth="1"/>
    <col min="6" max="6" width="15" style="12" customWidth="1"/>
    <col min="7" max="7" width="15.85546875" style="12" customWidth="1"/>
    <col min="8" max="9" width="9.140625" hidden="1" customWidth="1"/>
    <col min="10" max="10" width="10.42578125" hidden="1" customWidth="1"/>
    <col min="11" max="11" width="11.140625" customWidth="1"/>
    <col min="12" max="12" width="9.5703125" customWidth="1"/>
    <col min="13" max="13" width="11.7109375" customWidth="1"/>
    <col min="14" max="14" width="13" customWidth="1"/>
    <col min="15" max="15" width="9.42578125" customWidth="1"/>
    <col min="16" max="16" width="8.28515625" customWidth="1"/>
    <col min="257" max="257" width="6.85546875" customWidth="1"/>
    <col min="258" max="258" width="37.140625" customWidth="1"/>
    <col min="259" max="259" width="41.7109375" customWidth="1"/>
    <col min="261" max="261" width="13.28515625" customWidth="1"/>
    <col min="262" max="262" width="12.85546875" customWidth="1"/>
    <col min="513" max="513" width="6.85546875" customWidth="1"/>
    <col min="514" max="514" width="37.140625" customWidth="1"/>
    <col min="515" max="515" width="41.7109375" customWidth="1"/>
    <col min="517" max="517" width="13.28515625" customWidth="1"/>
    <col min="518" max="518" width="12.85546875" customWidth="1"/>
    <col min="769" max="769" width="6.85546875" customWidth="1"/>
    <col min="770" max="770" width="37.140625" customWidth="1"/>
    <col min="771" max="771" width="41.7109375" customWidth="1"/>
    <col min="773" max="773" width="13.28515625" customWidth="1"/>
    <col min="774" max="774" width="12.85546875" customWidth="1"/>
    <col min="1025" max="1025" width="6.85546875" customWidth="1"/>
    <col min="1026" max="1026" width="37.140625" customWidth="1"/>
    <col min="1027" max="1027" width="41.7109375" customWidth="1"/>
    <col min="1029" max="1029" width="13.28515625" customWidth="1"/>
    <col min="1030" max="1030" width="12.85546875" customWidth="1"/>
    <col min="1281" max="1281" width="6.85546875" customWidth="1"/>
    <col min="1282" max="1282" width="37.140625" customWidth="1"/>
    <col min="1283" max="1283" width="41.7109375" customWidth="1"/>
    <col min="1285" max="1285" width="13.28515625" customWidth="1"/>
    <col min="1286" max="1286" width="12.85546875" customWidth="1"/>
    <col min="1537" max="1537" width="6.85546875" customWidth="1"/>
    <col min="1538" max="1538" width="37.140625" customWidth="1"/>
    <col min="1539" max="1539" width="41.7109375" customWidth="1"/>
    <col min="1541" max="1541" width="13.28515625" customWidth="1"/>
    <col min="1542" max="1542" width="12.85546875" customWidth="1"/>
    <col min="1793" max="1793" width="6.85546875" customWidth="1"/>
    <col min="1794" max="1794" width="37.140625" customWidth="1"/>
    <col min="1795" max="1795" width="41.7109375" customWidth="1"/>
    <col min="1797" max="1797" width="13.28515625" customWidth="1"/>
    <col min="1798" max="1798" width="12.85546875" customWidth="1"/>
    <col min="2049" max="2049" width="6.85546875" customWidth="1"/>
    <col min="2050" max="2050" width="37.140625" customWidth="1"/>
    <col min="2051" max="2051" width="41.7109375" customWidth="1"/>
    <col min="2053" max="2053" width="13.28515625" customWidth="1"/>
    <col min="2054" max="2054" width="12.85546875" customWidth="1"/>
    <col min="2305" max="2305" width="6.85546875" customWidth="1"/>
    <col min="2306" max="2306" width="37.140625" customWidth="1"/>
    <col min="2307" max="2307" width="41.7109375" customWidth="1"/>
    <col min="2309" max="2309" width="13.28515625" customWidth="1"/>
    <col min="2310" max="2310" width="12.85546875" customWidth="1"/>
    <col min="2561" max="2561" width="6.85546875" customWidth="1"/>
    <col min="2562" max="2562" width="37.140625" customWidth="1"/>
    <col min="2563" max="2563" width="41.7109375" customWidth="1"/>
    <col min="2565" max="2565" width="13.28515625" customWidth="1"/>
    <col min="2566" max="2566" width="12.85546875" customWidth="1"/>
    <col min="2817" max="2817" width="6.85546875" customWidth="1"/>
    <col min="2818" max="2818" width="37.140625" customWidth="1"/>
    <col min="2819" max="2819" width="41.7109375" customWidth="1"/>
    <col min="2821" max="2821" width="13.28515625" customWidth="1"/>
    <col min="2822" max="2822" width="12.85546875" customWidth="1"/>
    <col min="3073" max="3073" width="6.85546875" customWidth="1"/>
    <col min="3074" max="3074" width="37.140625" customWidth="1"/>
    <col min="3075" max="3075" width="41.7109375" customWidth="1"/>
    <col min="3077" max="3077" width="13.28515625" customWidth="1"/>
    <col min="3078" max="3078" width="12.85546875" customWidth="1"/>
    <col min="3329" max="3329" width="6.85546875" customWidth="1"/>
    <col min="3330" max="3330" width="37.140625" customWidth="1"/>
    <col min="3331" max="3331" width="41.7109375" customWidth="1"/>
    <col min="3333" max="3333" width="13.28515625" customWidth="1"/>
    <col min="3334" max="3334" width="12.85546875" customWidth="1"/>
    <col min="3585" max="3585" width="6.85546875" customWidth="1"/>
    <col min="3586" max="3586" width="37.140625" customWidth="1"/>
    <col min="3587" max="3587" width="41.7109375" customWidth="1"/>
    <col min="3589" max="3589" width="13.28515625" customWidth="1"/>
    <col min="3590" max="3590" width="12.85546875" customWidth="1"/>
    <col min="3841" max="3841" width="6.85546875" customWidth="1"/>
    <col min="3842" max="3842" width="37.140625" customWidth="1"/>
    <col min="3843" max="3843" width="41.7109375" customWidth="1"/>
    <col min="3845" max="3845" width="13.28515625" customWidth="1"/>
    <col min="3846" max="3846" width="12.85546875" customWidth="1"/>
    <col min="4097" max="4097" width="6.85546875" customWidth="1"/>
    <col min="4098" max="4098" width="37.140625" customWidth="1"/>
    <col min="4099" max="4099" width="41.7109375" customWidth="1"/>
    <col min="4101" max="4101" width="13.28515625" customWidth="1"/>
    <col min="4102" max="4102" width="12.85546875" customWidth="1"/>
    <col min="4353" max="4353" width="6.85546875" customWidth="1"/>
    <col min="4354" max="4354" width="37.140625" customWidth="1"/>
    <col min="4355" max="4355" width="41.7109375" customWidth="1"/>
    <col min="4357" max="4357" width="13.28515625" customWidth="1"/>
    <col min="4358" max="4358" width="12.85546875" customWidth="1"/>
    <col min="4609" max="4609" width="6.85546875" customWidth="1"/>
    <col min="4610" max="4610" width="37.140625" customWidth="1"/>
    <col min="4611" max="4611" width="41.7109375" customWidth="1"/>
    <col min="4613" max="4613" width="13.28515625" customWidth="1"/>
    <col min="4614" max="4614" width="12.85546875" customWidth="1"/>
    <col min="4865" max="4865" width="6.85546875" customWidth="1"/>
    <col min="4866" max="4866" width="37.140625" customWidth="1"/>
    <col min="4867" max="4867" width="41.7109375" customWidth="1"/>
    <col min="4869" max="4869" width="13.28515625" customWidth="1"/>
    <col min="4870" max="4870" width="12.85546875" customWidth="1"/>
    <col min="5121" max="5121" width="6.85546875" customWidth="1"/>
    <col min="5122" max="5122" width="37.140625" customWidth="1"/>
    <col min="5123" max="5123" width="41.7109375" customWidth="1"/>
    <col min="5125" max="5125" width="13.28515625" customWidth="1"/>
    <col min="5126" max="5126" width="12.85546875" customWidth="1"/>
    <col min="5377" max="5377" width="6.85546875" customWidth="1"/>
    <col min="5378" max="5378" width="37.140625" customWidth="1"/>
    <col min="5379" max="5379" width="41.7109375" customWidth="1"/>
    <col min="5381" max="5381" width="13.28515625" customWidth="1"/>
    <col min="5382" max="5382" width="12.85546875" customWidth="1"/>
    <col min="5633" max="5633" width="6.85546875" customWidth="1"/>
    <col min="5634" max="5634" width="37.140625" customWidth="1"/>
    <col min="5635" max="5635" width="41.7109375" customWidth="1"/>
    <col min="5637" max="5637" width="13.28515625" customWidth="1"/>
    <col min="5638" max="5638" width="12.85546875" customWidth="1"/>
    <col min="5889" max="5889" width="6.85546875" customWidth="1"/>
    <col min="5890" max="5890" width="37.140625" customWidth="1"/>
    <col min="5891" max="5891" width="41.7109375" customWidth="1"/>
    <col min="5893" max="5893" width="13.28515625" customWidth="1"/>
    <col min="5894" max="5894" width="12.85546875" customWidth="1"/>
    <col min="6145" max="6145" width="6.85546875" customWidth="1"/>
    <col min="6146" max="6146" width="37.140625" customWidth="1"/>
    <col min="6147" max="6147" width="41.7109375" customWidth="1"/>
    <col min="6149" max="6149" width="13.28515625" customWidth="1"/>
    <col min="6150" max="6150" width="12.85546875" customWidth="1"/>
    <col min="6401" max="6401" width="6.85546875" customWidth="1"/>
    <col min="6402" max="6402" width="37.140625" customWidth="1"/>
    <col min="6403" max="6403" width="41.7109375" customWidth="1"/>
    <col min="6405" max="6405" width="13.28515625" customWidth="1"/>
    <col min="6406" max="6406" width="12.85546875" customWidth="1"/>
    <col min="6657" max="6657" width="6.85546875" customWidth="1"/>
    <col min="6658" max="6658" width="37.140625" customWidth="1"/>
    <col min="6659" max="6659" width="41.7109375" customWidth="1"/>
    <col min="6661" max="6661" width="13.28515625" customWidth="1"/>
    <col min="6662" max="6662" width="12.85546875" customWidth="1"/>
    <col min="6913" max="6913" width="6.85546875" customWidth="1"/>
    <col min="6914" max="6914" width="37.140625" customWidth="1"/>
    <col min="6915" max="6915" width="41.7109375" customWidth="1"/>
    <col min="6917" max="6917" width="13.28515625" customWidth="1"/>
    <col min="6918" max="6918" width="12.85546875" customWidth="1"/>
    <col min="7169" max="7169" width="6.85546875" customWidth="1"/>
    <col min="7170" max="7170" width="37.140625" customWidth="1"/>
    <col min="7171" max="7171" width="41.7109375" customWidth="1"/>
    <col min="7173" max="7173" width="13.28515625" customWidth="1"/>
    <col min="7174" max="7174" width="12.85546875" customWidth="1"/>
    <col min="7425" max="7425" width="6.85546875" customWidth="1"/>
    <col min="7426" max="7426" width="37.140625" customWidth="1"/>
    <col min="7427" max="7427" width="41.7109375" customWidth="1"/>
    <col min="7429" max="7429" width="13.28515625" customWidth="1"/>
    <col min="7430" max="7430" width="12.85546875" customWidth="1"/>
    <col min="7681" max="7681" width="6.85546875" customWidth="1"/>
    <col min="7682" max="7682" width="37.140625" customWidth="1"/>
    <col min="7683" max="7683" width="41.7109375" customWidth="1"/>
    <col min="7685" max="7685" width="13.28515625" customWidth="1"/>
    <col min="7686" max="7686" width="12.85546875" customWidth="1"/>
    <col min="7937" max="7937" width="6.85546875" customWidth="1"/>
    <col min="7938" max="7938" width="37.140625" customWidth="1"/>
    <col min="7939" max="7939" width="41.7109375" customWidth="1"/>
    <col min="7941" max="7941" width="13.28515625" customWidth="1"/>
    <col min="7942" max="7942" width="12.85546875" customWidth="1"/>
    <col min="8193" max="8193" width="6.85546875" customWidth="1"/>
    <col min="8194" max="8194" width="37.140625" customWidth="1"/>
    <col min="8195" max="8195" width="41.7109375" customWidth="1"/>
    <col min="8197" max="8197" width="13.28515625" customWidth="1"/>
    <col min="8198" max="8198" width="12.85546875" customWidth="1"/>
    <col min="8449" max="8449" width="6.85546875" customWidth="1"/>
    <col min="8450" max="8450" width="37.140625" customWidth="1"/>
    <col min="8451" max="8451" width="41.7109375" customWidth="1"/>
    <col min="8453" max="8453" width="13.28515625" customWidth="1"/>
    <col min="8454" max="8454" width="12.85546875" customWidth="1"/>
    <col min="8705" max="8705" width="6.85546875" customWidth="1"/>
    <col min="8706" max="8706" width="37.140625" customWidth="1"/>
    <col min="8707" max="8707" width="41.7109375" customWidth="1"/>
    <col min="8709" max="8709" width="13.28515625" customWidth="1"/>
    <col min="8710" max="8710" width="12.85546875" customWidth="1"/>
    <col min="8961" max="8961" width="6.85546875" customWidth="1"/>
    <col min="8962" max="8962" width="37.140625" customWidth="1"/>
    <col min="8963" max="8963" width="41.7109375" customWidth="1"/>
    <col min="8965" max="8965" width="13.28515625" customWidth="1"/>
    <col min="8966" max="8966" width="12.85546875" customWidth="1"/>
    <col min="9217" max="9217" width="6.85546875" customWidth="1"/>
    <col min="9218" max="9218" width="37.140625" customWidth="1"/>
    <col min="9219" max="9219" width="41.7109375" customWidth="1"/>
    <col min="9221" max="9221" width="13.28515625" customWidth="1"/>
    <col min="9222" max="9222" width="12.85546875" customWidth="1"/>
    <col min="9473" max="9473" width="6.85546875" customWidth="1"/>
    <col min="9474" max="9474" width="37.140625" customWidth="1"/>
    <col min="9475" max="9475" width="41.7109375" customWidth="1"/>
    <col min="9477" max="9477" width="13.28515625" customWidth="1"/>
    <col min="9478" max="9478" width="12.85546875" customWidth="1"/>
    <col min="9729" max="9729" width="6.85546875" customWidth="1"/>
    <col min="9730" max="9730" width="37.140625" customWidth="1"/>
    <col min="9731" max="9731" width="41.7109375" customWidth="1"/>
    <col min="9733" max="9733" width="13.28515625" customWidth="1"/>
    <col min="9734" max="9734" width="12.85546875" customWidth="1"/>
    <col min="9985" max="9985" width="6.85546875" customWidth="1"/>
    <col min="9986" max="9986" width="37.140625" customWidth="1"/>
    <col min="9987" max="9987" width="41.7109375" customWidth="1"/>
    <col min="9989" max="9989" width="13.28515625" customWidth="1"/>
    <col min="9990" max="9990" width="12.85546875" customWidth="1"/>
    <col min="10241" max="10241" width="6.85546875" customWidth="1"/>
    <col min="10242" max="10242" width="37.140625" customWidth="1"/>
    <col min="10243" max="10243" width="41.7109375" customWidth="1"/>
    <col min="10245" max="10245" width="13.28515625" customWidth="1"/>
    <col min="10246" max="10246" width="12.85546875" customWidth="1"/>
    <col min="10497" max="10497" width="6.85546875" customWidth="1"/>
    <col min="10498" max="10498" width="37.140625" customWidth="1"/>
    <col min="10499" max="10499" width="41.7109375" customWidth="1"/>
    <col min="10501" max="10501" width="13.28515625" customWidth="1"/>
    <col min="10502" max="10502" width="12.85546875" customWidth="1"/>
    <col min="10753" max="10753" width="6.85546875" customWidth="1"/>
    <col min="10754" max="10754" width="37.140625" customWidth="1"/>
    <col min="10755" max="10755" width="41.7109375" customWidth="1"/>
    <col min="10757" max="10757" width="13.28515625" customWidth="1"/>
    <col min="10758" max="10758" width="12.85546875" customWidth="1"/>
    <col min="11009" max="11009" width="6.85546875" customWidth="1"/>
    <col min="11010" max="11010" width="37.140625" customWidth="1"/>
    <col min="11011" max="11011" width="41.7109375" customWidth="1"/>
    <col min="11013" max="11013" width="13.28515625" customWidth="1"/>
    <col min="11014" max="11014" width="12.85546875" customWidth="1"/>
    <col min="11265" max="11265" width="6.85546875" customWidth="1"/>
    <col min="11266" max="11266" width="37.140625" customWidth="1"/>
    <col min="11267" max="11267" width="41.7109375" customWidth="1"/>
    <col min="11269" max="11269" width="13.28515625" customWidth="1"/>
    <col min="11270" max="11270" width="12.85546875" customWidth="1"/>
    <col min="11521" max="11521" width="6.85546875" customWidth="1"/>
    <col min="11522" max="11522" width="37.140625" customWidth="1"/>
    <col min="11523" max="11523" width="41.7109375" customWidth="1"/>
    <col min="11525" max="11525" width="13.28515625" customWidth="1"/>
    <col min="11526" max="11526" width="12.85546875" customWidth="1"/>
    <col min="11777" max="11777" width="6.85546875" customWidth="1"/>
    <col min="11778" max="11778" width="37.140625" customWidth="1"/>
    <col min="11779" max="11779" width="41.7109375" customWidth="1"/>
    <col min="11781" max="11781" width="13.28515625" customWidth="1"/>
    <col min="11782" max="11782" width="12.85546875" customWidth="1"/>
    <col min="12033" max="12033" width="6.85546875" customWidth="1"/>
    <col min="12034" max="12034" width="37.140625" customWidth="1"/>
    <col min="12035" max="12035" width="41.7109375" customWidth="1"/>
    <col min="12037" max="12037" width="13.28515625" customWidth="1"/>
    <col min="12038" max="12038" width="12.85546875" customWidth="1"/>
    <col min="12289" max="12289" width="6.85546875" customWidth="1"/>
    <col min="12290" max="12290" width="37.140625" customWidth="1"/>
    <col min="12291" max="12291" width="41.7109375" customWidth="1"/>
    <col min="12293" max="12293" width="13.28515625" customWidth="1"/>
    <col min="12294" max="12294" width="12.85546875" customWidth="1"/>
    <col min="12545" max="12545" width="6.85546875" customWidth="1"/>
    <col min="12546" max="12546" width="37.140625" customWidth="1"/>
    <col min="12547" max="12547" width="41.7109375" customWidth="1"/>
    <col min="12549" max="12549" width="13.28515625" customWidth="1"/>
    <col min="12550" max="12550" width="12.85546875" customWidth="1"/>
    <col min="12801" max="12801" width="6.85546875" customWidth="1"/>
    <col min="12802" max="12802" width="37.140625" customWidth="1"/>
    <col min="12803" max="12803" width="41.7109375" customWidth="1"/>
    <col min="12805" max="12805" width="13.28515625" customWidth="1"/>
    <col min="12806" max="12806" width="12.85546875" customWidth="1"/>
    <col min="13057" max="13057" width="6.85546875" customWidth="1"/>
    <col min="13058" max="13058" width="37.140625" customWidth="1"/>
    <col min="13059" max="13059" width="41.7109375" customWidth="1"/>
    <col min="13061" max="13061" width="13.28515625" customWidth="1"/>
    <col min="13062" max="13062" width="12.85546875" customWidth="1"/>
    <col min="13313" max="13313" width="6.85546875" customWidth="1"/>
    <col min="13314" max="13314" width="37.140625" customWidth="1"/>
    <col min="13315" max="13315" width="41.7109375" customWidth="1"/>
    <col min="13317" max="13317" width="13.28515625" customWidth="1"/>
    <col min="13318" max="13318" width="12.85546875" customWidth="1"/>
    <col min="13569" max="13569" width="6.85546875" customWidth="1"/>
    <col min="13570" max="13570" width="37.140625" customWidth="1"/>
    <col min="13571" max="13571" width="41.7109375" customWidth="1"/>
    <col min="13573" max="13573" width="13.28515625" customWidth="1"/>
    <col min="13574" max="13574" width="12.85546875" customWidth="1"/>
    <col min="13825" max="13825" width="6.85546875" customWidth="1"/>
    <col min="13826" max="13826" width="37.140625" customWidth="1"/>
    <col min="13827" max="13827" width="41.7109375" customWidth="1"/>
    <col min="13829" max="13829" width="13.28515625" customWidth="1"/>
    <col min="13830" max="13830" width="12.85546875" customWidth="1"/>
    <col min="14081" max="14081" width="6.85546875" customWidth="1"/>
    <col min="14082" max="14082" width="37.140625" customWidth="1"/>
    <col min="14083" max="14083" width="41.7109375" customWidth="1"/>
    <col min="14085" max="14085" width="13.28515625" customWidth="1"/>
    <col min="14086" max="14086" width="12.85546875" customWidth="1"/>
    <col min="14337" max="14337" width="6.85546875" customWidth="1"/>
    <col min="14338" max="14338" width="37.140625" customWidth="1"/>
    <col min="14339" max="14339" width="41.7109375" customWidth="1"/>
    <col min="14341" max="14341" width="13.28515625" customWidth="1"/>
    <col min="14342" max="14342" width="12.85546875" customWidth="1"/>
    <col min="14593" max="14593" width="6.85546875" customWidth="1"/>
    <col min="14594" max="14594" width="37.140625" customWidth="1"/>
    <col min="14595" max="14595" width="41.7109375" customWidth="1"/>
    <col min="14597" max="14597" width="13.28515625" customWidth="1"/>
    <col min="14598" max="14598" width="12.85546875" customWidth="1"/>
    <col min="14849" max="14849" width="6.85546875" customWidth="1"/>
    <col min="14850" max="14850" width="37.140625" customWidth="1"/>
    <col min="14851" max="14851" width="41.7109375" customWidth="1"/>
    <col min="14853" max="14853" width="13.28515625" customWidth="1"/>
    <col min="14854" max="14854" width="12.85546875" customWidth="1"/>
    <col min="15105" max="15105" width="6.85546875" customWidth="1"/>
    <col min="15106" max="15106" width="37.140625" customWidth="1"/>
    <col min="15107" max="15107" width="41.7109375" customWidth="1"/>
    <col min="15109" max="15109" width="13.28515625" customWidth="1"/>
    <col min="15110" max="15110" width="12.85546875" customWidth="1"/>
    <col min="15361" max="15361" width="6.85546875" customWidth="1"/>
    <col min="15362" max="15362" width="37.140625" customWidth="1"/>
    <col min="15363" max="15363" width="41.7109375" customWidth="1"/>
    <col min="15365" max="15365" width="13.28515625" customWidth="1"/>
    <col min="15366" max="15366" width="12.85546875" customWidth="1"/>
    <col min="15617" max="15617" width="6.85546875" customWidth="1"/>
    <col min="15618" max="15618" width="37.140625" customWidth="1"/>
    <col min="15619" max="15619" width="41.7109375" customWidth="1"/>
    <col min="15621" max="15621" width="13.28515625" customWidth="1"/>
    <col min="15622" max="15622" width="12.85546875" customWidth="1"/>
    <col min="15873" max="15873" width="6.85546875" customWidth="1"/>
    <col min="15874" max="15874" width="37.140625" customWidth="1"/>
    <col min="15875" max="15875" width="41.7109375" customWidth="1"/>
    <col min="15877" max="15877" width="13.28515625" customWidth="1"/>
    <col min="15878" max="15878" width="12.85546875" customWidth="1"/>
    <col min="16129" max="16129" width="6.85546875" customWidth="1"/>
    <col min="16130" max="16130" width="37.140625" customWidth="1"/>
    <col min="16131" max="16131" width="41.7109375" customWidth="1"/>
    <col min="16133" max="16133" width="13.28515625" customWidth="1"/>
    <col min="16134" max="16134" width="12.85546875" customWidth="1"/>
  </cols>
  <sheetData>
    <row r="1" spans="1:14" ht="15.75" hidden="1" x14ac:dyDescent="0.25">
      <c r="E1" s="44" t="s">
        <v>118</v>
      </c>
      <c r="F1" s="44"/>
      <c r="G1" s="44"/>
      <c r="H1" s="44"/>
    </row>
    <row r="2" spans="1:14" ht="15.75" hidden="1" x14ac:dyDescent="0.25">
      <c r="E2" s="44" t="s">
        <v>119</v>
      </c>
      <c r="F2" s="44"/>
      <c r="G2" s="44"/>
      <c r="H2" s="44"/>
    </row>
    <row r="3" spans="1:14" ht="15.75" hidden="1" x14ac:dyDescent="0.25">
      <c r="E3" s="44" t="s">
        <v>120</v>
      </c>
      <c r="F3" s="44"/>
      <c r="G3" s="44"/>
      <c r="H3" s="44"/>
    </row>
    <row r="4" spans="1:14" ht="15.75" hidden="1" x14ac:dyDescent="0.25">
      <c r="E4" s="44"/>
      <c r="F4" s="44"/>
      <c r="G4" s="44"/>
      <c r="H4" s="44"/>
    </row>
    <row r="5" spans="1:14" ht="15.75" hidden="1" x14ac:dyDescent="0.25">
      <c r="E5" s="44"/>
      <c r="F5" s="44"/>
      <c r="G5" s="44"/>
      <c r="H5" s="44"/>
    </row>
    <row r="6" spans="1:14" ht="15.75" hidden="1" x14ac:dyDescent="0.25">
      <c r="E6" s="44" t="s">
        <v>179</v>
      </c>
      <c r="F6" s="44"/>
      <c r="G6" s="44"/>
      <c r="H6" s="44"/>
    </row>
    <row r="7" spans="1:14" ht="15" hidden="1" x14ac:dyDescent="0.2">
      <c r="B7" s="47"/>
      <c r="C7" s="47"/>
      <c r="D7" s="47"/>
      <c r="E7" s="45"/>
      <c r="F7" s="45"/>
      <c r="G7" s="45"/>
      <c r="H7" s="45"/>
    </row>
    <row r="8" spans="1:14" ht="44.25" customHeight="1" thickBot="1" x14ac:dyDescent="0.25">
      <c r="A8" s="293" t="s">
        <v>224</v>
      </c>
      <c r="B8" s="294"/>
      <c r="C8" s="294"/>
      <c r="D8" s="294"/>
      <c r="E8" s="294"/>
      <c r="F8" s="294"/>
      <c r="G8" s="294"/>
    </row>
    <row r="9" spans="1:14" ht="35.25" customHeight="1" thickBot="1" x14ac:dyDescent="0.25">
      <c r="A9" s="21" t="s">
        <v>0</v>
      </c>
      <c r="B9" s="22" t="s">
        <v>1</v>
      </c>
      <c r="C9" s="22" t="s">
        <v>4</v>
      </c>
      <c r="D9" s="22" t="s">
        <v>2</v>
      </c>
      <c r="E9" s="22" t="s">
        <v>3</v>
      </c>
      <c r="F9" s="22" t="s">
        <v>6</v>
      </c>
      <c r="G9" s="23" t="s">
        <v>5</v>
      </c>
      <c r="H9" s="1"/>
      <c r="I9" s="1"/>
      <c r="J9" s="1"/>
      <c r="K9" s="1"/>
    </row>
    <row r="10" spans="1:14" ht="33.75" customHeight="1" x14ac:dyDescent="0.2">
      <c r="A10" s="186">
        <v>25000</v>
      </c>
      <c r="B10" s="31" t="s">
        <v>145</v>
      </c>
      <c r="C10" s="31" t="s">
        <v>144</v>
      </c>
      <c r="D10" s="31">
        <v>1</v>
      </c>
      <c r="E10" s="31">
        <f t="shared" ref="E10:E16" si="0">D10*$J$40</f>
        <v>850</v>
      </c>
      <c r="F10" s="31">
        <f>C30+C40+C34*9</f>
        <v>2525.04</v>
      </c>
      <c r="G10" s="34">
        <f t="shared" ref="G10:G16" si="1">E10+F10</f>
        <v>3375.04</v>
      </c>
      <c r="H10" s="1"/>
      <c r="I10" s="1"/>
      <c r="J10" s="1"/>
      <c r="K10" s="1"/>
    </row>
    <row r="11" spans="1:14" ht="38.25" x14ac:dyDescent="0.2">
      <c r="A11" s="286">
        <v>50000</v>
      </c>
      <c r="B11" s="288" t="s">
        <v>53</v>
      </c>
      <c r="C11" s="212" t="s">
        <v>146</v>
      </c>
      <c r="D11" s="212">
        <v>1.9</v>
      </c>
      <c r="E11" s="212">
        <f t="shared" si="0"/>
        <v>1615</v>
      </c>
      <c r="F11" s="212">
        <f>C30+C31+C32+C33+C34*9+C40+C46+C47</f>
        <v>6697.4400000000005</v>
      </c>
      <c r="G11" s="35">
        <f t="shared" si="1"/>
        <v>8312.44</v>
      </c>
      <c r="H11" s="1"/>
      <c r="I11" s="1"/>
      <c r="J11" s="1"/>
      <c r="K11" s="1"/>
    </row>
    <row r="12" spans="1:14" ht="25.5" hidden="1" customHeight="1" x14ac:dyDescent="0.2">
      <c r="A12" s="287"/>
      <c r="B12" s="289"/>
      <c r="C12" s="212"/>
      <c r="D12" s="212"/>
      <c r="E12" s="212">
        <f t="shared" si="0"/>
        <v>0</v>
      </c>
      <c r="F12" s="212"/>
      <c r="G12" s="35">
        <f t="shared" si="1"/>
        <v>0</v>
      </c>
      <c r="H12" s="1"/>
      <c r="I12" s="1"/>
      <c r="J12" s="1"/>
      <c r="K12" s="1"/>
    </row>
    <row r="13" spans="1:14" ht="25.5" x14ac:dyDescent="0.2">
      <c r="A13" s="209">
        <v>75000</v>
      </c>
      <c r="B13" s="215" t="s">
        <v>145</v>
      </c>
      <c r="C13" s="215" t="s">
        <v>144</v>
      </c>
      <c r="D13" s="215">
        <v>1</v>
      </c>
      <c r="E13" s="215">
        <f t="shared" si="0"/>
        <v>850</v>
      </c>
      <c r="F13" s="215">
        <f>C30+C34*9+C40</f>
        <v>2525.04</v>
      </c>
      <c r="G13" s="35">
        <f t="shared" si="1"/>
        <v>3375.04</v>
      </c>
      <c r="H13" s="1"/>
      <c r="I13" s="1"/>
      <c r="J13" s="1"/>
      <c r="K13" s="1"/>
    </row>
    <row r="14" spans="1:14" ht="38.25" customHeight="1" x14ac:dyDescent="0.2">
      <c r="A14" s="209">
        <v>100000</v>
      </c>
      <c r="B14" s="211" t="s">
        <v>53</v>
      </c>
      <c r="C14" s="212" t="s">
        <v>146</v>
      </c>
      <c r="D14" s="212">
        <v>1.9</v>
      </c>
      <c r="E14" s="212">
        <f t="shared" si="0"/>
        <v>1615</v>
      </c>
      <c r="F14" s="212">
        <f>F11</f>
        <v>6697.4400000000005</v>
      </c>
      <c r="G14" s="35">
        <f t="shared" si="1"/>
        <v>8312.44</v>
      </c>
      <c r="H14" s="1"/>
      <c r="I14" s="1"/>
      <c r="J14" s="1"/>
      <c r="K14" s="1"/>
      <c r="N14" s="3"/>
    </row>
    <row r="15" spans="1:14" ht="27" customHeight="1" x14ac:dyDescent="0.2">
      <c r="A15" s="209">
        <v>125000</v>
      </c>
      <c r="B15" s="215" t="s">
        <v>145</v>
      </c>
      <c r="C15" s="215" t="s">
        <v>144</v>
      </c>
      <c r="D15" s="215">
        <v>1</v>
      </c>
      <c r="E15" s="215">
        <f t="shared" si="0"/>
        <v>850</v>
      </c>
      <c r="F15" s="215">
        <f>C30+C34*9+C40</f>
        <v>2525.04</v>
      </c>
      <c r="G15" s="35">
        <f t="shared" si="1"/>
        <v>3375.04</v>
      </c>
      <c r="H15" s="1"/>
      <c r="I15" s="1"/>
      <c r="J15" s="1"/>
      <c r="K15" s="1"/>
    </row>
    <row r="16" spans="1:14" ht="38.25" x14ac:dyDescent="0.2">
      <c r="A16" s="209">
        <v>150000</v>
      </c>
      <c r="B16" s="211" t="s">
        <v>53</v>
      </c>
      <c r="C16" s="212" t="s">
        <v>146</v>
      </c>
      <c r="D16" s="212">
        <v>1.9</v>
      </c>
      <c r="E16" s="212">
        <f t="shared" si="0"/>
        <v>1615</v>
      </c>
      <c r="F16" s="211">
        <f>F11</f>
        <v>6697.4400000000005</v>
      </c>
      <c r="G16" s="35">
        <f t="shared" si="1"/>
        <v>8312.44</v>
      </c>
      <c r="H16" s="1"/>
      <c r="I16" s="1"/>
      <c r="J16" s="1"/>
      <c r="K16" s="1"/>
    </row>
    <row r="17" spans="1:11" ht="15.75" x14ac:dyDescent="0.2">
      <c r="A17" s="210" t="s">
        <v>55</v>
      </c>
      <c r="B17" s="215" t="s">
        <v>56</v>
      </c>
      <c r="C17" s="215" t="s">
        <v>57</v>
      </c>
      <c r="D17" s="215" t="s">
        <v>58</v>
      </c>
      <c r="E17" s="215" t="s">
        <v>59</v>
      </c>
      <c r="F17" s="215" t="s">
        <v>55</v>
      </c>
      <c r="G17" s="35" t="s">
        <v>60</v>
      </c>
      <c r="H17" s="1"/>
      <c r="I17" s="1"/>
      <c r="J17" s="1"/>
      <c r="K17" s="1"/>
    </row>
    <row r="18" spans="1:11" ht="38.25" x14ac:dyDescent="0.2">
      <c r="A18" s="286">
        <v>175000</v>
      </c>
      <c r="B18" s="288" t="s">
        <v>53</v>
      </c>
      <c r="C18" s="212" t="s">
        <v>146</v>
      </c>
      <c r="D18" s="212">
        <v>1.9</v>
      </c>
      <c r="E18" s="212">
        <f t="shared" ref="E18:E23" si="2">D18*$J$40</f>
        <v>1615</v>
      </c>
      <c r="F18" s="212">
        <f>F11</f>
        <v>6697.4400000000005</v>
      </c>
      <c r="G18" s="35">
        <f t="shared" ref="G18:G27" si="3">E18+F18</f>
        <v>8312.44</v>
      </c>
      <c r="H18" s="1"/>
      <c r="I18" s="1"/>
      <c r="J18" s="1"/>
      <c r="K18" s="1"/>
    </row>
    <row r="19" spans="1:11" ht="15.75" x14ac:dyDescent="0.2">
      <c r="A19" s="287"/>
      <c r="B19" s="289"/>
      <c r="C19" s="216" t="s">
        <v>324</v>
      </c>
      <c r="D19" s="212">
        <v>2.1</v>
      </c>
      <c r="E19" s="212">
        <f t="shared" si="2"/>
        <v>1785</v>
      </c>
      <c r="F19" s="212">
        <f>F11+F21</f>
        <v>10124.1</v>
      </c>
      <c r="G19" s="35">
        <f t="shared" si="3"/>
        <v>11909.1</v>
      </c>
      <c r="H19" s="1"/>
      <c r="I19" s="1"/>
      <c r="J19" s="1"/>
      <c r="K19" s="1"/>
    </row>
    <row r="20" spans="1:11" ht="15.75" x14ac:dyDescent="0.2">
      <c r="A20" s="188">
        <v>120000</v>
      </c>
      <c r="B20" s="214"/>
      <c r="C20" s="215"/>
      <c r="D20" s="214"/>
      <c r="E20" s="215"/>
      <c r="F20" s="215"/>
      <c r="G20" s="35">
        <f t="shared" si="3"/>
        <v>0</v>
      </c>
      <c r="H20" s="1"/>
      <c r="I20" s="1"/>
      <c r="J20" s="1"/>
      <c r="K20" s="1"/>
    </row>
    <row r="21" spans="1:11" ht="15.75" x14ac:dyDescent="0.2">
      <c r="A21" s="213" t="s">
        <v>225</v>
      </c>
      <c r="B21" s="211" t="s">
        <v>63</v>
      </c>
      <c r="C21" s="212" t="s">
        <v>324</v>
      </c>
      <c r="D21" s="211">
        <v>0.2</v>
      </c>
      <c r="E21" s="212">
        <f t="shared" si="2"/>
        <v>170</v>
      </c>
      <c r="F21" s="211">
        <f>C36*3</f>
        <v>3426.66</v>
      </c>
      <c r="G21" s="35">
        <f t="shared" si="3"/>
        <v>3596.66</v>
      </c>
      <c r="H21" s="1"/>
      <c r="I21" s="1"/>
      <c r="J21" s="1"/>
      <c r="K21" s="1"/>
    </row>
    <row r="22" spans="1:11" ht="15.75" x14ac:dyDescent="0.2">
      <c r="A22" s="210" t="s">
        <v>225</v>
      </c>
      <c r="B22" s="217" t="s">
        <v>327</v>
      </c>
      <c r="C22" s="215" t="s">
        <v>325</v>
      </c>
      <c r="D22" s="214">
        <v>0.5</v>
      </c>
      <c r="E22" s="215">
        <f t="shared" si="2"/>
        <v>425</v>
      </c>
      <c r="F22" s="215">
        <f>C45</f>
        <v>776.8</v>
      </c>
      <c r="G22" s="35">
        <f t="shared" si="3"/>
        <v>1201.8</v>
      </c>
      <c r="H22" s="1"/>
      <c r="I22" s="1"/>
      <c r="J22" s="1"/>
      <c r="K22" s="1"/>
    </row>
    <row r="23" spans="1:11" ht="15.75" x14ac:dyDescent="0.2">
      <c r="A23" s="210" t="s">
        <v>65</v>
      </c>
      <c r="B23" s="211" t="s">
        <v>66</v>
      </c>
      <c r="C23" s="211" t="s">
        <v>7</v>
      </c>
      <c r="D23" s="211">
        <v>0.5</v>
      </c>
      <c r="E23" s="212">
        <f t="shared" si="2"/>
        <v>425</v>
      </c>
      <c r="F23" s="211">
        <f>C38</f>
        <v>625.91999999999996</v>
      </c>
      <c r="G23" s="35">
        <f>F23+E23</f>
        <v>1050.92</v>
      </c>
      <c r="H23" s="1"/>
      <c r="I23" s="1"/>
      <c r="J23" s="1"/>
      <c r="K23" s="1"/>
    </row>
    <row r="24" spans="1:11" ht="15.75" x14ac:dyDescent="0.2">
      <c r="A24" s="210" t="s">
        <v>67</v>
      </c>
      <c r="B24" s="215" t="s">
        <v>143</v>
      </c>
      <c r="C24" s="239" t="s">
        <v>388</v>
      </c>
      <c r="D24" s="214">
        <v>0.7</v>
      </c>
      <c r="E24" s="215">
        <f>J40*D24</f>
        <v>595</v>
      </c>
      <c r="F24" s="214">
        <f>C41*4+C39*4</f>
        <v>2787.2400000000002</v>
      </c>
      <c r="G24" s="35">
        <f t="shared" si="3"/>
        <v>3382.2400000000002</v>
      </c>
      <c r="H24" s="1"/>
      <c r="I24" s="1"/>
      <c r="J24" s="1"/>
      <c r="K24" s="1"/>
    </row>
    <row r="25" spans="1:11" ht="52.5" customHeight="1" x14ac:dyDescent="0.2">
      <c r="A25" s="113"/>
      <c r="B25" s="290" t="s">
        <v>178</v>
      </c>
      <c r="C25" s="291"/>
      <c r="D25" s="291"/>
      <c r="E25" s="291"/>
      <c r="F25" s="292"/>
      <c r="G25" s="114"/>
      <c r="H25" s="1"/>
      <c r="I25" s="1"/>
      <c r="J25" s="1"/>
      <c r="K25" s="1"/>
    </row>
    <row r="26" spans="1:11" ht="30.75" customHeight="1" x14ac:dyDescent="0.2">
      <c r="A26" s="209">
        <v>25000</v>
      </c>
      <c r="B26" s="215" t="s">
        <v>145</v>
      </c>
      <c r="C26" s="215" t="s">
        <v>147</v>
      </c>
      <c r="D26" s="215">
        <v>1</v>
      </c>
      <c r="E26" s="215">
        <f>J40*D26</f>
        <v>850</v>
      </c>
      <c r="F26" s="215">
        <f>C30+C35*9+C40</f>
        <v>3262.68</v>
      </c>
      <c r="G26" s="35">
        <f t="shared" si="3"/>
        <v>4112.68</v>
      </c>
      <c r="H26" s="1"/>
      <c r="I26" s="1"/>
      <c r="J26" s="1"/>
      <c r="K26" s="1"/>
    </row>
    <row r="27" spans="1:11" ht="39" thickBot="1" x14ac:dyDescent="0.25">
      <c r="A27" s="189">
        <v>50000</v>
      </c>
      <c r="B27" s="32" t="s">
        <v>53</v>
      </c>
      <c r="C27" s="33" t="s">
        <v>177</v>
      </c>
      <c r="D27" s="33">
        <v>1.9</v>
      </c>
      <c r="E27" s="33">
        <f>J40*D27</f>
        <v>1615</v>
      </c>
      <c r="F27" s="32">
        <f>C30+C31+C32+C35*9+C40+C46+C47+C33</f>
        <v>7435.08</v>
      </c>
      <c r="G27" s="37">
        <f t="shared" si="3"/>
        <v>9050.08</v>
      </c>
      <c r="H27" s="1"/>
      <c r="I27" s="1"/>
      <c r="J27" s="1"/>
      <c r="K27" s="1"/>
    </row>
    <row r="28" spans="1:11" ht="13.5" thickBot="1" x14ac:dyDescent="0.25">
      <c r="A28" s="16"/>
      <c r="B28" s="282" t="s">
        <v>180</v>
      </c>
      <c r="C28" s="282"/>
      <c r="D28" s="17"/>
      <c r="E28" s="17"/>
      <c r="F28" s="17"/>
      <c r="G28" s="17"/>
      <c r="H28" s="1"/>
      <c r="I28" s="1"/>
      <c r="J28" s="1"/>
      <c r="K28" s="1"/>
    </row>
    <row r="29" spans="1:11" ht="18.75" thickBot="1" x14ac:dyDescent="0.3">
      <c r="A29" s="16"/>
      <c r="B29" s="128" t="s">
        <v>49</v>
      </c>
      <c r="C29" s="124" t="s">
        <v>121</v>
      </c>
      <c r="D29" s="17"/>
      <c r="E29" s="17"/>
      <c r="F29" s="17"/>
      <c r="G29" s="17"/>
      <c r="H29" s="1"/>
      <c r="I29" s="1"/>
      <c r="J29" s="1"/>
      <c r="K29" s="1"/>
    </row>
    <row r="30" spans="1:11" ht="14.25" x14ac:dyDescent="0.2">
      <c r="A30" s="16"/>
      <c r="B30" s="129" t="s">
        <v>427</v>
      </c>
      <c r="C30" s="125">
        <v>565.20000000000005</v>
      </c>
      <c r="D30" s="17"/>
      <c r="E30" s="17"/>
      <c r="F30" s="17"/>
      <c r="G30" s="17"/>
      <c r="H30" s="1"/>
      <c r="I30" s="1"/>
      <c r="J30" s="1"/>
      <c r="K30" s="1"/>
    </row>
    <row r="31" spans="1:11" ht="14.25" x14ac:dyDescent="0.2">
      <c r="A31" s="16"/>
      <c r="B31" s="130" t="s">
        <v>428</v>
      </c>
      <c r="C31" s="126">
        <v>2198.2199999999998</v>
      </c>
      <c r="D31" s="17"/>
      <c r="E31" s="17"/>
      <c r="F31" s="17"/>
      <c r="G31" s="17"/>
      <c r="H31" s="1"/>
      <c r="I31" s="1"/>
      <c r="J31" s="1"/>
      <c r="K31" s="1"/>
    </row>
    <row r="32" spans="1:11" ht="14.25" x14ac:dyDescent="0.2">
      <c r="A32" s="16"/>
      <c r="B32" s="130" t="s">
        <v>429</v>
      </c>
      <c r="C32" s="126">
        <v>611.04</v>
      </c>
      <c r="D32" s="17"/>
      <c r="E32" s="17"/>
      <c r="F32" s="17"/>
      <c r="G32" s="17"/>
      <c r="H32" s="1"/>
      <c r="I32" s="1"/>
      <c r="J32" s="1"/>
      <c r="K32" s="1"/>
    </row>
    <row r="33" spans="1:11" ht="14.25" x14ac:dyDescent="0.2">
      <c r="A33" s="16"/>
      <c r="B33" s="130" t="s">
        <v>430</v>
      </c>
      <c r="C33" s="126">
        <v>1164.06</v>
      </c>
      <c r="D33" s="17"/>
      <c r="E33" s="17"/>
      <c r="F33" s="17"/>
      <c r="G33" s="17"/>
      <c r="H33" s="1"/>
      <c r="I33" s="1"/>
      <c r="J33" s="1"/>
      <c r="K33" s="1"/>
    </row>
    <row r="34" spans="1:11" ht="14.25" x14ac:dyDescent="0.2">
      <c r="A34" s="16"/>
      <c r="B34" s="120" t="s">
        <v>431</v>
      </c>
      <c r="C34" s="126">
        <v>213.24</v>
      </c>
      <c r="D34" s="17"/>
      <c r="E34" s="17"/>
      <c r="F34" s="17"/>
      <c r="G34" s="17"/>
      <c r="H34" s="1"/>
      <c r="I34" s="1"/>
      <c r="J34" s="1"/>
      <c r="K34" s="1"/>
    </row>
    <row r="35" spans="1:11" ht="34.5" customHeight="1" x14ac:dyDescent="0.2">
      <c r="A35" s="16"/>
      <c r="B35" s="130" t="s">
        <v>432</v>
      </c>
      <c r="C35" s="126">
        <v>295.2</v>
      </c>
      <c r="D35" s="17"/>
      <c r="E35" s="17"/>
      <c r="F35" s="17"/>
      <c r="G35" s="17"/>
      <c r="H35" s="1"/>
      <c r="I35" s="1"/>
      <c r="J35" s="1"/>
      <c r="K35" s="1"/>
    </row>
    <row r="36" spans="1:11" ht="14.25" x14ac:dyDescent="0.2">
      <c r="A36" s="16"/>
      <c r="B36" s="130" t="s">
        <v>433</v>
      </c>
      <c r="C36" s="126">
        <v>1142.22</v>
      </c>
      <c r="D36" s="17"/>
      <c r="E36" s="17"/>
      <c r="F36" s="17"/>
      <c r="G36" s="17"/>
      <c r="H36" s="1"/>
      <c r="I36" s="1"/>
      <c r="J36" s="1"/>
      <c r="K36" s="1"/>
    </row>
    <row r="37" spans="1:11" ht="14.25" hidden="1" x14ac:dyDescent="0.2">
      <c r="A37" s="16"/>
      <c r="B37" s="130"/>
      <c r="C37" s="126"/>
      <c r="D37" s="17"/>
      <c r="E37" s="17"/>
      <c r="F37" s="17"/>
      <c r="G37" s="17"/>
      <c r="H37" s="1"/>
      <c r="I37" s="1"/>
      <c r="J37" s="1"/>
      <c r="K37" s="1"/>
    </row>
    <row r="38" spans="1:11" ht="14.25" x14ac:dyDescent="0.2">
      <c r="A38" s="16"/>
      <c r="B38" s="130" t="s">
        <v>435</v>
      </c>
      <c r="C38" s="126">
        <v>625.91999999999996</v>
      </c>
      <c r="D38" s="17"/>
      <c r="E38" s="17"/>
      <c r="F38" s="17"/>
      <c r="G38" s="17"/>
      <c r="H38" s="1"/>
      <c r="I38" s="1"/>
      <c r="J38" s="1"/>
      <c r="K38" s="1"/>
    </row>
    <row r="39" spans="1:11" ht="15" thickBot="1" x14ac:dyDescent="0.25">
      <c r="A39" s="16"/>
      <c r="B39" s="130" t="s">
        <v>436</v>
      </c>
      <c r="C39" s="126">
        <v>681.12</v>
      </c>
      <c r="D39" s="17"/>
      <c r="E39" s="17"/>
      <c r="F39" s="17"/>
      <c r="G39" s="17"/>
      <c r="H39" s="1"/>
      <c r="I39" s="1"/>
      <c r="J39" s="1"/>
      <c r="K39" s="1"/>
    </row>
    <row r="40" spans="1:11" ht="26.25" thickBot="1" x14ac:dyDescent="0.25">
      <c r="A40" s="16"/>
      <c r="B40" s="130" t="s">
        <v>437</v>
      </c>
      <c r="C40" s="126">
        <v>40.68</v>
      </c>
      <c r="D40" s="17"/>
      <c r="E40" s="17"/>
      <c r="H40" s="1"/>
      <c r="I40" s="118" t="s">
        <v>69</v>
      </c>
      <c r="J40" s="119">
        <v>850</v>
      </c>
      <c r="K40" s="1"/>
    </row>
    <row r="41" spans="1:11" ht="14.25" x14ac:dyDescent="0.2">
      <c r="A41" s="16"/>
      <c r="B41" s="130" t="s">
        <v>438</v>
      </c>
      <c r="C41" s="126">
        <v>15.69</v>
      </c>
      <c r="D41" s="17"/>
      <c r="E41" s="17"/>
      <c r="F41" s="17"/>
      <c r="G41" s="17"/>
      <c r="H41" s="1"/>
      <c r="I41" s="1"/>
      <c r="J41" s="1"/>
      <c r="K41" s="1"/>
    </row>
    <row r="42" spans="1:11" ht="14.25" hidden="1" x14ac:dyDescent="0.2">
      <c r="A42" s="16"/>
      <c r="B42" s="130"/>
      <c r="C42" s="126"/>
      <c r="D42" s="17"/>
      <c r="E42" s="17"/>
      <c r="F42" s="17"/>
      <c r="G42" s="17"/>
      <c r="H42" s="1"/>
      <c r="I42" s="1"/>
      <c r="J42" s="1"/>
      <c r="K42" s="1"/>
    </row>
    <row r="43" spans="1:11" ht="14.25" hidden="1" x14ac:dyDescent="0.2">
      <c r="A43" s="16"/>
      <c r="B43" s="130"/>
      <c r="C43" s="126"/>
      <c r="D43" s="17"/>
      <c r="E43" s="17"/>
      <c r="F43" s="17"/>
      <c r="G43" s="17"/>
      <c r="H43" s="1"/>
      <c r="I43" s="1"/>
      <c r="J43" s="1"/>
      <c r="K43" s="1"/>
    </row>
    <row r="44" spans="1:11" ht="14.25" hidden="1" x14ac:dyDescent="0.2">
      <c r="A44" s="16"/>
      <c r="B44" s="130"/>
      <c r="C44" s="126"/>
      <c r="D44" s="17"/>
      <c r="E44" s="17"/>
      <c r="F44" s="17"/>
      <c r="G44" s="17"/>
      <c r="H44" s="1"/>
      <c r="I44" s="1"/>
      <c r="J44" s="1"/>
      <c r="K44" s="1"/>
    </row>
    <row r="45" spans="1:11" ht="14.25" x14ac:dyDescent="0.2">
      <c r="A45" s="16"/>
      <c r="B45" s="130" t="s">
        <v>326</v>
      </c>
      <c r="C45" s="126">
        <v>776.8</v>
      </c>
      <c r="D45" s="17"/>
      <c r="E45" s="17"/>
      <c r="F45" s="17"/>
      <c r="G45" s="17"/>
      <c r="H45" s="1"/>
      <c r="I45" s="1"/>
      <c r="J45" s="1"/>
      <c r="K45" s="1"/>
    </row>
    <row r="46" spans="1:11" ht="14.25" x14ac:dyDescent="0.2">
      <c r="A46" s="18"/>
      <c r="B46" s="130" t="s">
        <v>443</v>
      </c>
      <c r="C46" s="126">
        <v>94.26</v>
      </c>
    </row>
    <row r="47" spans="1:11" ht="15" thickBot="1" x14ac:dyDescent="0.25">
      <c r="A47" s="18"/>
      <c r="B47" s="131" t="s">
        <v>444</v>
      </c>
      <c r="C47" s="127">
        <v>104.82</v>
      </c>
    </row>
    <row r="48" spans="1:11" ht="15" x14ac:dyDescent="0.2">
      <c r="B48" s="29"/>
      <c r="C48" s="29"/>
    </row>
    <row r="49" spans="2:3" customFormat="1" ht="15" x14ac:dyDescent="0.2">
      <c r="B49" s="29"/>
      <c r="C49" s="29"/>
    </row>
    <row r="50" spans="2:3" customFormat="1" ht="15" x14ac:dyDescent="0.2">
      <c r="B50" s="29"/>
      <c r="C50" s="29"/>
    </row>
    <row r="51" spans="2:3" customFormat="1" ht="15" x14ac:dyDescent="0.2">
      <c r="B51" s="29"/>
      <c r="C51" s="29"/>
    </row>
    <row r="52" spans="2:3" customFormat="1" ht="15" x14ac:dyDescent="0.2">
      <c r="B52" s="29"/>
      <c r="C52" s="29"/>
    </row>
    <row r="53" spans="2:3" customFormat="1" ht="15" x14ac:dyDescent="0.2">
      <c r="B53" s="29"/>
      <c r="C53" s="29"/>
    </row>
    <row r="54" spans="2:3" customFormat="1" ht="15" x14ac:dyDescent="0.2">
      <c r="B54" s="29"/>
      <c r="C54" s="29"/>
    </row>
    <row r="55" spans="2:3" customFormat="1" ht="15" x14ac:dyDescent="0.2">
      <c r="B55" s="29"/>
      <c r="C55" s="29"/>
    </row>
    <row r="56" spans="2:3" customFormat="1" ht="15" x14ac:dyDescent="0.2">
      <c r="B56" s="29"/>
      <c r="C56" s="29"/>
    </row>
    <row r="57" spans="2:3" customFormat="1" x14ac:dyDescent="0.2">
      <c r="B57" s="17"/>
      <c r="C57" s="17"/>
    </row>
    <row r="58" spans="2:3" customFormat="1" x14ac:dyDescent="0.2">
      <c r="B58" s="17"/>
      <c r="C58" s="17"/>
    </row>
    <row r="59" spans="2:3" customFormat="1" x14ac:dyDescent="0.2">
      <c r="B59" s="17"/>
      <c r="C59" s="17"/>
    </row>
    <row r="60" spans="2:3" customFormat="1" x14ac:dyDescent="0.2">
      <c r="B60" s="17"/>
      <c r="C60" s="17"/>
    </row>
    <row r="61" spans="2:3" customFormat="1" x14ac:dyDescent="0.2">
      <c r="B61" s="17"/>
      <c r="C61" s="17"/>
    </row>
  </sheetData>
  <sheetProtection algorithmName="SHA-512" hashValue="MoUwEM21kIjSMADogTqokikIrvTIZZC2WWptLVdYvEhc/eQaypny9WcaxpEh8XMklMiCZVU38bmI3Rqq2nesfw==" saltValue="9qImxDCRjN+twoEz0b8IZw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hiddenRows="1" hiddenColumns="1" topLeftCell="A11">
      <selection activeCell="M18" sqref="M18"/>
      <pageMargins left="0.7" right="0.7" top="0.75" bottom="0.75" header="0.3" footer="0.3"/>
      <pageSetup paperSize="9" orientation="portrait" r:id="rId1"/>
    </customSheetView>
  </customSheetViews>
  <mergeCells count="7">
    <mergeCell ref="B28:C28"/>
    <mergeCell ref="A8:G8"/>
    <mergeCell ref="A11:A12"/>
    <mergeCell ref="B11:B12"/>
    <mergeCell ref="A18:A19"/>
    <mergeCell ref="B18:B19"/>
    <mergeCell ref="B25:F2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0"/>
  <sheetViews>
    <sheetView topLeftCell="B19" workbookViewId="0">
      <selection activeCell="E34" sqref="E34"/>
    </sheetView>
  </sheetViews>
  <sheetFormatPr defaultRowHeight="12.75" x14ac:dyDescent="0.2"/>
  <cols>
    <col min="1" max="1" width="19" style="7" customWidth="1"/>
    <col min="2" max="2" width="32.42578125" style="7" customWidth="1"/>
    <col min="3" max="3" width="39.42578125" style="7" customWidth="1"/>
    <col min="4" max="4" width="9.7109375" style="7" customWidth="1"/>
    <col min="5" max="5" width="16.5703125" style="7" customWidth="1"/>
    <col min="6" max="6" width="16.28515625" style="7" customWidth="1"/>
    <col min="7" max="7" width="17.5703125" style="7" customWidth="1"/>
    <col min="8" max="9" width="9.140625" hidden="1" customWidth="1"/>
    <col min="10" max="10" width="2.85546875" customWidth="1"/>
    <col min="11" max="11" width="7.7109375" customWidth="1"/>
    <col min="12" max="12" width="8.42578125" customWidth="1"/>
    <col min="13" max="13" width="6.42578125" customWidth="1"/>
    <col min="257" max="257" width="12" customWidth="1"/>
    <col min="258" max="258" width="31" customWidth="1"/>
    <col min="259" max="259" width="37.7109375" customWidth="1"/>
    <col min="260" max="260" width="7.7109375" customWidth="1"/>
    <col min="261" max="261" width="14.42578125" customWidth="1"/>
    <col min="262" max="262" width="14.7109375" customWidth="1"/>
    <col min="263" max="263" width="10" customWidth="1"/>
    <col min="513" max="513" width="12" customWidth="1"/>
    <col min="514" max="514" width="31" customWidth="1"/>
    <col min="515" max="515" width="37.7109375" customWidth="1"/>
    <col min="516" max="516" width="7.7109375" customWidth="1"/>
    <col min="517" max="517" width="14.42578125" customWidth="1"/>
    <col min="518" max="518" width="14.7109375" customWidth="1"/>
    <col min="519" max="519" width="10" customWidth="1"/>
    <col min="769" max="769" width="12" customWidth="1"/>
    <col min="770" max="770" width="31" customWidth="1"/>
    <col min="771" max="771" width="37.7109375" customWidth="1"/>
    <col min="772" max="772" width="7.7109375" customWidth="1"/>
    <col min="773" max="773" width="14.42578125" customWidth="1"/>
    <col min="774" max="774" width="14.7109375" customWidth="1"/>
    <col min="775" max="775" width="10" customWidth="1"/>
    <col min="1025" max="1025" width="12" customWidth="1"/>
    <col min="1026" max="1026" width="31" customWidth="1"/>
    <col min="1027" max="1027" width="37.7109375" customWidth="1"/>
    <col min="1028" max="1028" width="7.7109375" customWidth="1"/>
    <col min="1029" max="1029" width="14.42578125" customWidth="1"/>
    <col min="1030" max="1030" width="14.7109375" customWidth="1"/>
    <col min="1031" max="1031" width="10" customWidth="1"/>
    <col min="1281" max="1281" width="12" customWidth="1"/>
    <col min="1282" max="1282" width="31" customWidth="1"/>
    <col min="1283" max="1283" width="37.7109375" customWidth="1"/>
    <col min="1284" max="1284" width="7.7109375" customWidth="1"/>
    <col min="1285" max="1285" width="14.42578125" customWidth="1"/>
    <col min="1286" max="1286" width="14.7109375" customWidth="1"/>
    <col min="1287" max="1287" width="10" customWidth="1"/>
    <col min="1537" max="1537" width="12" customWidth="1"/>
    <col min="1538" max="1538" width="31" customWidth="1"/>
    <col min="1539" max="1539" width="37.7109375" customWidth="1"/>
    <col min="1540" max="1540" width="7.7109375" customWidth="1"/>
    <col min="1541" max="1541" width="14.42578125" customWidth="1"/>
    <col min="1542" max="1542" width="14.7109375" customWidth="1"/>
    <col min="1543" max="1543" width="10" customWidth="1"/>
    <col min="1793" max="1793" width="12" customWidth="1"/>
    <col min="1794" max="1794" width="31" customWidth="1"/>
    <col min="1795" max="1795" width="37.7109375" customWidth="1"/>
    <col min="1796" max="1796" width="7.7109375" customWidth="1"/>
    <col min="1797" max="1797" width="14.42578125" customWidth="1"/>
    <col min="1798" max="1798" width="14.7109375" customWidth="1"/>
    <col min="1799" max="1799" width="10" customWidth="1"/>
    <col min="2049" max="2049" width="12" customWidth="1"/>
    <col min="2050" max="2050" width="31" customWidth="1"/>
    <col min="2051" max="2051" width="37.7109375" customWidth="1"/>
    <col min="2052" max="2052" width="7.7109375" customWidth="1"/>
    <col min="2053" max="2053" width="14.42578125" customWidth="1"/>
    <col min="2054" max="2054" width="14.7109375" customWidth="1"/>
    <col min="2055" max="2055" width="10" customWidth="1"/>
    <col min="2305" max="2305" width="12" customWidth="1"/>
    <col min="2306" max="2306" width="31" customWidth="1"/>
    <col min="2307" max="2307" width="37.7109375" customWidth="1"/>
    <col min="2308" max="2308" width="7.7109375" customWidth="1"/>
    <col min="2309" max="2309" width="14.42578125" customWidth="1"/>
    <col min="2310" max="2310" width="14.7109375" customWidth="1"/>
    <col min="2311" max="2311" width="10" customWidth="1"/>
    <col min="2561" max="2561" width="12" customWidth="1"/>
    <col min="2562" max="2562" width="31" customWidth="1"/>
    <col min="2563" max="2563" width="37.7109375" customWidth="1"/>
    <col min="2564" max="2564" width="7.7109375" customWidth="1"/>
    <col min="2565" max="2565" width="14.42578125" customWidth="1"/>
    <col min="2566" max="2566" width="14.7109375" customWidth="1"/>
    <col min="2567" max="2567" width="10" customWidth="1"/>
    <col min="2817" max="2817" width="12" customWidth="1"/>
    <col min="2818" max="2818" width="31" customWidth="1"/>
    <col min="2819" max="2819" width="37.7109375" customWidth="1"/>
    <col min="2820" max="2820" width="7.7109375" customWidth="1"/>
    <col min="2821" max="2821" width="14.42578125" customWidth="1"/>
    <col min="2822" max="2822" width="14.7109375" customWidth="1"/>
    <col min="2823" max="2823" width="10" customWidth="1"/>
    <col min="3073" max="3073" width="12" customWidth="1"/>
    <col min="3074" max="3074" width="31" customWidth="1"/>
    <col min="3075" max="3075" width="37.7109375" customWidth="1"/>
    <col min="3076" max="3076" width="7.7109375" customWidth="1"/>
    <col min="3077" max="3077" width="14.42578125" customWidth="1"/>
    <col min="3078" max="3078" width="14.7109375" customWidth="1"/>
    <col min="3079" max="3079" width="10" customWidth="1"/>
    <col min="3329" max="3329" width="12" customWidth="1"/>
    <col min="3330" max="3330" width="31" customWidth="1"/>
    <col min="3331" max="3331" width="37.7109375" customWidth="1"/>
    <col min="3332" max="3332" width="7.7109375" customWidth="1"/>
    <col min="3333" max="3333" width="14.42578125" customWidth="1"/>
    <col min="3334" max="3334" width="14.7109375" customWidth="1"/>
    <col min="3335" max="3335" width="10" customWidth="1"/>
    <col min="3585" max="3585" width="12" customWidth="1"/>
    <col min="3586" max="3586" width="31" customWidth="1"/>
    <col min="3587" max="3587" width="37.7109375" customWidth="1"/>
    <col min="3588" max="3588" width="7.7109375" customWidth="1"/>
    <col min="3589" max="3589" width="14.42578125" customWidth="1"/>
    <col min="3590" max="3590" width="14.7109375" customWidth="1"/>
    <col min="3591" max="3591" width="10" customWidth="1"/>
    <col min="3841" max="3841" width="12" customWidth="1"/>
    <col min="3842" max="3842" width="31" customWidth="1"/>
    <col min="3843" max="3843" width="37.7109375" customWidth="1"/>
    <col min="3844" max="3844" width="7.7109375" customWidth="1"/>
    <col min="3845" max="3845" width="14.42578125" customWidth="1"/>
    <col min="3846" max="3846" width="14.7109375" customWidth="1"/>
    <col min="3847" max="3847" width="10" customWidth="1"/>
    <col min="4097" max="4097" width="12" customWidth="1"/>
    <col min="4098" max="4098" width="31" customWidth="1"/>
    <col min="4099" max="4099" width="37.7109375" customWidth="1"/>
    <col min="4100" max="4100" width="7.7109375" customWidth="1"/>
    <col min="4101" max="4101" width="14.42578125" customWidth="1"/>
    <col min="4102" max="4102" width="14.7109375" customWidth="1"/>
    <col min="4103" max="4103" width="10" customWidth="1"/>
    <col min="4353" max="4353" width="12" customWidth="1"/>
    <col min="4354" max="4354" width="31" customWidth="1"/>
    <col min="4355" max="4355" width="37.7109375" customWidth="1"/>
    <col min="4356" max="4356" width="7.7109375" customWidth="1"/>
    <col min="4357" max="4357" width="14.42578125" customWidth="1"/>
    <col min="4358" max="4358" width="14.7109375" customWidth="1"/>
    <col min="4359" max="4359" width="10" customWidth="1"/>
    <col min="4609" max="4609" width="12" customWidth="1"/>
    <col min="4610" max="4610" width="31" customWidth="1"/>
    <col min="4611" max="4611" width="37.7109375" customWidth="1"/>
    <col min="4612" max="4612" width="7.7109375" customWidth="1"/>
    <col min="4613" max="4613" width="14.42578125" customWidth="1"/>
    <col min="4614" max="4614" width="14.7109375" customWidth="1"/>
    <col min="4615" max="4615" width="10" customWidth="1"/>
    <col min="4865" max="4865" width="12" customWidth="1"/>
    <col min="4866" max="4866" width="31" customWidth="1"/>
    <col min="4867" max="4867" width="37.7109375" customWidth="1"/>
    <col min="4868" max="4868" width="7.7109375" customWidth="1"/>
    <col min="4869" max="4869" width="14.42578125" customWidth="1"/>
    <col min="4870" max="4870" width="14.7109375" customWidth="1"/>
    <col min="4871" max="4871" width="10" customWidth="1"/>
    <col min="5121" max="5121" width="12" customWidth="1"/>
    <col min="5122" max="5122" width="31" customWidth="1"/>
    <col min="5123" max="5123" width="37.7109375" customWidth="1"/>
    <col min="5124" max="5124" width="7.7109375" customWidth="1"/>
    <col min="5125" max="5125" width="14.42578125" customWidth="1"/>
    <col min="5126" max="5126" width="14.7109375" customWidth="1"/>
    <col min="5127" max="5127" width="10" customWidth="1"/>
    <col min="5377" max="5377" width="12" customWidth="1"/>
    <col min="5378" max="5378" width="31" customWidth="1"/>
    <col min="5379" max="5379" width="37.7109375" customWidth="1"/>
    <col min="5380" max="5380" width="7.7109375" customWidth="1"/>
    <col min="5381" max="5381" width="14.42578125" customWidth="1"/>
    <col min="5382" max="5382" width="14.7109375" customWidth="1"/>
    <col min="5383" max="5383" width="10" customWidth="1"/>
    <col min="5633" max="5633" width="12" customWidth="1"/>
    <col min="5634" max="5634" width="31" customWidth="1"/>
    <col min="5635" max="5635" width="37.7109375" customWidth="1"/>
    <col min="5636" max="5636" width="7.7109375" customWidth="1"/>
    <col min="5637" max="5637" width="14.42578125" customWidth="1"/>
    <col min="5638" max="5638" width="14.7109375" customWidth="1"/>
    <col min="5639" max="5639" width="10" customWidth="1"/>
    <col min="5889" max="5889" width="12" customWidth="1"/>
    <col min="5890" max="5890" width="31" customWidth="1"/>
    <col min="5891" max="5891" width="37.7109375" customWidth="1"/>
    <col min="5892" max="5892" width="7.7109375" customWidth="1"/>
    <col min="5893" max="5893" width="14.42578125" customWidth="1"/>
    <col min="5894" max="5894" width="14.7109375" customWidth="1"/>
    <col min="5895" max="5895" width="10" customWidth="1"/>
    <col min="6145" max="6145" width="12" customWidth="1"/>
    <col min="6146" max="6146" width="31" customWidth="1"/>
    <col min="6147" max="6147" width="37.7109375" customWidth="1"/>
    <col min="6148" max="6148" width="7.7109375" customWidth="1"/>
    <col min="6149" max="6149" width="14.42578125" customWidth="1"/>
    <col min="6150" max="6150" width="14.7109375" customWidth="1"/>
    <col min="6151" max="6151" width="10" customWidth="1"/>
    <col min="6401" max="6401" width="12" customWidth="1"/>
    <col min="6402" max="6402" width="31" customWidth="1"/>
    <col min="6403" max="6403" width="37.7109375" customWidth="1"/>
    <col min="6404" max="6404" width="7.7109375" customWidth="1"/>
    <col min="6405" max="6405" width="14.42578125" customWidth="1"/>
    <col min="6406" max="6406" width="14.7109375" customWidth="1"/>
    <col min="6407" max="6407" width="10" customWidth="1"/>
    <col min="6657" max="6657" width="12" customWidth="1"/>
    <col min="6658" max="6658" width="31" customWidth="1"/>
    <col min="6659" max="6659" width="37.7109375" customWidth="1"/>
    <col min="6660" max="6660" width="7.7109375" customWidth="1"/>
    <col min="6661" max="6661" width="14.42578125" customWidth="1"/>
    <col min="6662" max="6662" width="14.7109375" customWidth="1"/>
    <col min="6663" max="6663" width="10" customWidth="1"/>
    <col min="6913" max="6913" width="12" customWidth="1"/>
    <col min="6914" max="6914" width="31" customWidth="1"/>
    <col min="6915" max="6915" width="37.7109375" customWidth="1"/>
    <col min="6916" max="6916" width="7.7109375" customWidth="1"/>
    <col min="6917" max="6917" width="14.42578125" customWidth="1"/>
    <col min="6918" max="6918" width="14.7109375" customWidth="1"/>
    <col min="6919" max="6919" width="10" customWidth="1"/>
    <col min="7169" max="7169" width="12" customWidth="1"/>
    <col min="7170" max="7170" width="31" customWidth="1"/>
    <col min="7171" max="7171" width="37.7109375" customWidth="1"/>
    <col min="7172" max="7172" width="7.7109375" customWidth="1"/>
    <col min="7173" max="7173" width="14.42578125" customWidth="1"/>
    <col min="7174" max="7174" width="14.7109375" customWidth="1"/>
    <col min="7175" max="7175" width="10" customWidth="1"/>
    <col min="7425" max="7425" width="12" customWidth="1"/>
    <col min="7426" max="7426" width="31" customWidth="1"/>
    <col min="7427" max="7427" width="37.7109375" customWidth="1"/>
    <col min="7428" max="7428" width="7.7109375" customWidth="1"/>
    <col min="7429" max="7429" width="14.42578125" customWidth="1"/>
    <col min="7430" max="7430" width="14.7109375" customWidth="1"/>
    <col min="7431" max="7431" width="10" customWidth="1"/>
    <col min="7681" max="7681" width="12" customWidth="1"/>
    <col min="7682" max="7682" width="31" customWidth="1"/>
    <col min="7683" max="7683" width="37.7109375" customWidth="1"/>
    <col min="7684" max="7684" width="7.7109375" customWidth="1"/>
    <col min="7685" max="7685" width="14.42578125" customWidth="1"/>
    <col min="7686" max="7686" width="14.7109375" customWidth="1"/>
    <col min="7687" max="7687" width="10" customWidth="1"/>
    <col min="7937" max="7937" width="12" customWidth="1"/>
    <col min="7938" max="7938" width="31" customWidth="1"/>
    <col min="7939" max="7939" width="37.7109375" customWidth="1"/>
    <col min="7940" max="7940" width="7.7109375" customWidth="1"/>
    <col min="7941" max="7941" width="14.42578125" customWidth="1"/>
    <col min="7942" max="7942" width="14.7109375" customWidth="1"/>
    <col min="7943" max="7943" width="10" customWidth="1"/>
    <col min="8193" max="8193" width="12" customWidth="1"/>
    <col min="8194" max="8194" width="31" customWidth="1"/>
    <col min="8195" max="8195" width="37.7109375" customWidth="1"/>
    <col min="8196" max="8196" width="7.7109375" customWidth="1"/>
    <col min="8197" max="8197" width="14.42578125" customWidth="1"/>
    <col min="8198" max="8198" width="14.7109375" customWidth="1"/>
    <col min="8199" max="8199" width="10" customWidth="1"/>
    <col min="8449" max="8449" width="12" customWidth="1"/>
    <col min="8450" max="8450" width="31" customWidth="1"/>
    <col min="8451" max="8451" width="37.7109375" customWidth="1"/>
    <col min="8452" max="8452" width="7.7109375" customWidth="1"/>
    <col min="8453" max="8453" width="14.42578125" customWidth="1"/>
    <col min="8454" max="8454" width="14.7109375" customWidth="1"/>
    <col min="8455" max="8455" width="10" customWidth="1"/>
    <col min="8705" max="8705" width="12" customWidth="1"/>
    <col min="8706" max="8706" width="31" customWidth="1"/>
    <col min="8707" max="8707" width="37.7109375" customWidth="1"/>
    <col min="8708" max="8708" width="7.7109375" customWidth="1"/>
    <col min="8709" max="8709" width="14.42578125" customWidth="1"/>
    <col min="8710" max="8710" width="14.7109375" customWidth="1"/>
    <col min="8711" max="8711" width="10" customWidth="1"/>
    <col min="8961" max="8961" width="12" customWidth="1"/>
    <col min="8962" max="8962" width="31" customWidth="1"/>
    <col min="8963" max="8963" width="37.7109375" customWidth="1"/>
    <col min="8964" max="8964" width="7.7109375" customWidth="1"/>
    <col min="8965" max="8965" width="14.42578125" customWidth="1"/>
    <col min="8966" max="8966" width="14.7109375" customWidth="1"/>
    <col min="8967" max="8967" width="10" customWidth="1"/>
    <col min="9217" max="9217" width="12" customWidth="1"/>
    <col min="9218" max="9218" width="31" customWidth="1"/>
    <col min="9219" max="9219" width="37.7109375" customWidth="1"/>
    <col min="9220" max="9220" width="7.7109375" customWidth="1"/>
    <col min="9221" max="9221" width="14.42578125" customWidth="1"/>
    <col min="9222" max="9222" width="14.7109375" customWidth="1"/>
    <col min="9223" max="9223" width="10" customWidth="1"/>
    <col min="9473" max="9473" width="12" customWidth="1"/>
    <col min="9474" max="9474" width="31" customWidth="1"/>
    <col min="9475" max="9475" width="37.7109375" customWidth="1"/>
    <col min="9476" max="9476" width="7.7109375" customWidth="1"/>
    <col min="9477" max="9477" width="14.42578125" customWidth="1"/>
    <col min="9478" max="9478" width="14.7109375" customWidth="1"/>
    <col min="9479" max="9479" width="10" customWidth="1"/>
    <col min="9729" max="9729" width="12" customWidth="1"/>
    <col min="9730" max="9730" width="31" customWidth="1"/>
    <col min="9731" max="9731" width="37.7109375" customWidth="1"/>
    <col min="9732" max="9732" width="7.7109375" customWidth="1"/>
    <col min="9733" max="9733" width="14.42578125" customWidth="1"/>
    <col min="9734" max="9734" width="14.7109375" customWidth="1"/>
    <col min="9735" max="9735" width="10" customWidth="1"/>
    <col min="9985" max="9985" width="12" customWidth="1"/>
    <col min="9986" max="9986" width="31" customWidth="1"/>
    <col min="9987" max="9987" width="37.7109375" customWidth="1"/>
    <col min="9988" max="9988" width="7.7109375" customWidth="1"/>
    <col min="9989" max="9989" width="14.42578125" customWidth="1"/>
    <col min="9990" max="9990" width="14.7109375" customWidth="1"/>
    <col min="9991" max="9991" width="10" customWidth="1"/>
    <col min="10241" max="10241" width="12" customWidth="1"/>
    <col min="10242" max="10242" width="31" customWidth="1"/>
    <col min="10243" max="10243" width="37.7109375" customWidth="1"/>
    <col min="10244" max="10244" width="7.7109375" customWidth="1"/>
    <col min="10245" max="10245" width="14.42578125" customWidth="1"/>
    <col min="10246" max="10246" width="14.7109375" customWidth="1"/>
    <col min="10247" max="10247" width="10" customWidth="1"/>
    <col min="10497" max="10497" width="12" customWidth="1"/>
    <col min="10498" max="10498" width="31" customWidth="1"/>
    <col min="10499" max="10499" width="37.7109375" customWidth="1"/>
    <col min="10500" max="10500" width="7.7109375" customWidth="1"/>
    <col min="10501" max="10501" width="14.42578125" customWidth="1"/>
    <col min="10502" max="10502" width="14.7109375" customWidth="1"/>
    <col min="10503" max="10503" width="10" customWidth="1"/>
    <col min="10753" max="10753" width="12" customWidth="1"/>
    <col min="10754" max="10754" width="31" customWidth="1"/>
    <col min="10755" max="10755" width="37.7109375" customWidth="1"/>
    <col min="10756" max="10756" width="7.7109375" customWidth="1"/>
    <col min="10757" max="10757" width="14.42578125" customWidth="1"/>
    <col min="10758" max="10758" width="14.7109375" customWidth="1"/>
    <col min="10759" max="10759" width="10" customWidth="1"/>
    <col min="11009" max="11009" width="12" customWidth="1"/>
    <col min="11010" max="11010" width="31" customWidth="1"/>
    <col min="11011" max="11011" width="37.7109375" customWidth="1"/>
    <col min="11012" max="11012" width="7.7109375" customWidth="1"/>
    <col min="11013" max="11013" width="14.42578125" customWidth="1"/>
    <col min="11014" max="11014" width="14.7109375" customWidth="1"/>
    <col min="11015" max="11015" width="10" customWidth="1"/>
    <col min="11265" max="11265" width="12" customWidth="1"/>
    <col min="11266" max="11266" width="31" customWidth="1"/>
    <col min="11267" max="11267" width="37.7109375" customWidth="1"/>
    <col min="11268" max="11268" width="7.7109375" customWidth="1"/>
    <col min="11269" max="11269" width="14.42578125" customWidth="1"/>
    <col min="11270" max="11270" width="14.7109375" customWidth="1"/>
    <col min="11271" max="11271" width="10" customWidth="1"/>
    <col min="11521" max="11521" width="12" customWidth="1"/>
    <col min="11522" max="11522" width="31" customWidth="1"/>
    <col min="11523" max="11523" width="37.7109375" customWidth="1"/>
    <col min="11524" max="11524" width="7.7109375" customWidth="1"/>
    <col min="11525" max="11525" width="14.42578125" customWidth="1"/>
    <col min="11526" max="11526" width="14.7109375" customWidth="1"/>
    <col min="11527" max="11527" width="10" customWidth="1"/>
    <col min="11777" max="11777" width="12" customWidth="1"/>
    <col min="11778" max="11778" width="31" customWidth="1"/>
    <col min="11779" max="11779" width="37.7109375" customWidth="1"/>
    <col min="11780" max="11780" width="7.7109375" customWidth="1"/>
    <col min="11781" max="11781" width="14.42578125" customWidth="1"/>
    <col min="11782" max="11782" width="14.7109375" customWidth="1"/>
    <col min="11783" max="11783" width="10" customWidth="1"/>
    <col min="12033" max="12033" width="12" customWidth="1"/>
    <col min="12034" max="12034" width="31" customWidth="1"/>
    <col min="12035" max="12035" width="37.7109375" customWidth="1"/>
    <col min="12036" max="12036" width="7.7109375" customWidth="1"/>
    <col min="12037" max="12037" width="14.42578125" customWidth="1"/>
    <col min="12038" max="12038" width="14.7109375" customWidth="1"/>
    <col min="12039" max="12039" width="10" customWidth="1"/>
    <col min="12289" max="12289" width="12" customWidth="1"/>
    <col min="12290" max="12290" width="31" customWidth="1"/>
    <col min="12291" max="12291" width="37.7109375" customWidth="1"/>
    <col min="12292" max="12292" width="7.7109375" customWidth="1"/>
    <col min="12293" max="12293" width="14.42578125" customWidth="1"/>
    <col min="12294" max="12294" width="14.7109375" customWidth="1"/>
    <col min="12295" max="12295" width="10" customWidth="1"/>
    <col min="12545" max="12545" width="12" customWidth="1"/>
    <col min="12546" max="12546" width="31" customWidth="1"/>
    <col min="12547" max="12547" width="37.7109375" customWidth="1"/>
    <col min="12548" max="12548" width="7.7109375" customWidth="1"/>
    <col min="12549" max="12549" width="14.42578125" customWidth="1"/>
    <col min="12550" max="12550" width="14.7109375" customWidth="1"/>
    <col min="12551" max="12551" width="10" customWidth="1"/>
    <col min="12801" max="12801" width="12" customWidth="1"/>
    <col min="12802" max="12802" width="31" customWidth="1"/>
    <col min="12803" max="12803" width="37.7109375" customWidth="1"/>
    <col min="12804" max="12804" width="7.7109375" customWidth="1"/>
    <col min="12805" max="12805" width="14.42578125" customWidth="1"/>
    <col min="12806" max="12806" width="14.7109375" customWidth="1"/>
    <col min="12807" max="12807" width="10" customWidth="1"/>
    <col min="13057" max="13057" width="12" customWidth="1"/>
    <col min="13058" max="13058" width="31" customWidth="1"/>
    <col min="13059" max="13059" width="37.7109375" customWidth="1"/>
    <col min="13060" max="13060" width="7.7109375" customWidth="1"/>
    <col min="13061" max="13061" width="14.42578125" customWidth="1"/>
    <col min="13062" max="13062" width="14.7109375" customWidth="1"/>
    <col min="13063" max="13063" width="10" customWidth="1"/>
    <col min="13313" max="13313" width="12" customWidth="1"/>
    <col min="13314" max="13314" width="31" customWidth="1"/>
    <col min="13315" max="13315" width="37.7109375" customWidth="1"/>
    <col min="13316" max="13316" width="7.7109375" customWidth="1"/>
    <col min="13317" max="13317" width="14.42578125" customWidth="1"/>
    <col min="13318" max="13318" width="14.7109375" customWidth="1"/>
    <col min="13319" max="13319" width="10" customWidth="1"/>
    <col min="13569" max="13569" width="12" customWidth="1"/>
    <col min="13570" max="13570" width="31" customWidth="1"/>
    <col min="13571" max="13571" width="37.7109375" customWidth="1"/>
    <col min="13572" max="13572" width="7.7109375" customWidth="1"/>
    <col min="13573" max="13573" width="14.42578125" customWidth="1"/>
    <col min="13574" max="13574" width="14.7109375" customWidth="1"/>
    <col min="13575" max="13575" width="10" customWidth="1"/>
    <col min="13825" max="13825" width="12" customWidth="1"/>
    <col min="13826" max="13826" width="31" customWidth="1"/>
    <col min="13827" max="13827" width="37.7109375" customWidth="1"/>
    <col min="13828" max="13828" width="7.7109375" customWidth="1"/>
    <col min="13829" max="13829" width="14.42578125" customWidth="1"/>
    <col min="13830" max="13830" width="14.7109375" customWidth="1"/>
    <col min="13831" max="13831" width="10" customWidth="1"/>
    <col min="14081" max="14081" width="12" customWidth="1"/>
    <col min="14082" max="14082" width="31" customWidth="1"/>
    <col min="14083" max="14083" width="37.7109375" customWidth="1"/>
    <col min="14084" max="14084" width="7.7109375" customWidth="1"/>
    <col min="14085" max="14085" width="14.42578125" customWidth="1"/>
    <col min="14086" max="14086" width="14.7109375" customWidth="1"/>
    <col min="14087" max="14087" width="10" customWidth="1"/>
    <col min="14337" max="14337" width="12" customWidth="1"/>
    <col min="14338" max="14338" width="31" customWidth="1"/>
    <col min="14339" max="14339" width="37.7109375" customWidth="1"/>
    <col min="14340" max="14340" width="7.7109375" customWidth="1"/>
    <col min="14341" max="14341" width="14.42578125" customWidth="1"/>
    <col min="14342" max="14342" width="14.7109375" customWidth="1"/>
    <col min="14343" max="14343" width="10" customWidth="1"/>
    <col min="14593" max="14593" width="12" customWidth="1"/>
    <col min="14594" max="14594" width="31" customWidth="1"/>
    <col min="14595" max="14595" width="37.7109375" customWidth="1"/>
    <col min="14596" max="14596" width="7.7109375" customWidth="1"/>
    <col min="14597" max="14597" width="14.42578125" customWidth="1"/>
    <col min="14598" max="14598" width="14.7109375" customWidth="1"/>
    <col min="14599" max="14599" width="10" customWidth="1"/>
    <col min="14849" max="14849" width="12" customWidth="1"/>
    <col min="14850" max="14850" width="31" customWidth="1"/>
    <col min="14851" max="14851" width="37.7109375" customWidth="1"/>
    <col min="14852" max="14852" width="7.7109375" customWidth="1"/>
    <col min="14853" max="14853" width="14.42578125" customWidth="1"/>
    <col min="14854" max="14854" width="14.7109375" customWidth="1"/>
    <col min="14855" max="14855" width="10" customWidth="1"/>
    <col min="15105" max="15105" width="12" customWidth="1"/>
    <col min="15106" max="15106" width="31" customWidth="1"/>
    <col min="15107" max="15107" width="37.7109375" customWidth="1"/>
    <col min="15108" max="15108" width="7.7109375" customWidth="1"/>
    <col min="15109" max="15109" width="14.42578125" customWidth="1"/>
    <col min="15110" max="15110" width="14.7109375" customWidth="1"/>
    <col min="15111" max="15111" width="10" customWidth="1"/>
    <col min="15361" max="15361" width="12" customWidth="1"/>
    <col min="15362" max="15362" width="31" customWidth="1"/>
    <col min="15363" max="15363" width="37.7109375" customWidth="1"/>
    <col min="15364" max="15364" width="7.7109375" customWidth="1"/>
    <col min="15365" max="15365" width="14.42578125" customWidth="1"/>
    <col min="15366" max="15366" width="14.7109375" customWidth="1"/>
    <col min="15367" max="15367" width="10" customWidth="1"/>
    <col min="15617" max="15617" width="12" customWidth="1"/>
    <col min="15618" max="15618" width="31" customWidth="1"/>
    <col min="15619" max="15619" width="37.7109375" customWidth="1"/>
    <col min="15620" max="15620" width="7.7109375" customWidth="1"/>
    <col min="15621" max="15621" width="14.42578125" customWidth="1"/>
    <col min="15622" max="15622" width="14.7109375" customWidth="1"/>
    <col min="15623" max="15623" width="10" customWidth="1"/>
    <col min="15873" max="15873" width="12" customWidth="1"/>
    <col min="15874" max="15874" width="31" customWidth="1"/>
    <col min="15875" max="15875" width="37.7109375" customWidth="1"/>
    <col min="15876" max="15876" width="7.7109375" customWidth="1"/>
    <col min="15877" max="15877" width="14.42578125" customWidth="1"/>
    <col min="15878" max="15878" width="14.7109375" customWidth="1"/>
    <col min="15879" max="15879" width="10" customWidth="1"/>
    <col min="16129" max="16129" width="12" customWidth="1"/>
    <col min="16130" max="16130" width="31" customWidth="1"/>
    <col min="16131" max="16131" width="37.7109375" customWidth="1"/>
    <col min="16132" max="16132" width="7.7109375" customWidth="1"/>
    <col min="16133" max="16133" width="14.42578125" customWidth="1"/>
    <col min="16134" max="16134" width="14.7109375" customWidth="1"/>
    <col min="16135" max="16135" width="10" customWidth="1"/>
  </cols>
  <sheetData>
    <row r="1" spans="1:14" ht="15.75" hidden="1" x14ac:dyDescent="0.25">
      <c r="A1" s="12"/>
      <c r="B1" s="12"/>
      <c r="C1" s="12"/>
      <c r="D1" s="12"/>
      <c r="E1" s="57"/>
      <c r="F1" s="44" t="s">
        <v>118</v>
      </c>
      <c r="G1" s="44"/>
      <c r="H1" s="44"/>
    </row>
    <row r="2" spans="1:14" ht="15.75" hidden="1" x14ac:dyDescent="0.25">
      <c r="A2" s="12"/>
      <c r="B2" s="12"/>
      <c r="C2" s="12"/>
      <c r="D2" s="12"/>
      <c r="E2" s="57"/>
      <c r="F2" s="44" t="s">
        <v>119</v>
      </c>
      <c r="G2" s="44"/>
      <c r="H2" s="44"/>
    </row>
    <row r="3" spans="1:14" ht="15.75" hidden="1" x14ac:dyDescent="0.25">
      <c r="A3" s="12"/>
      <c r="B3" s="12"/>
      <c r="C3" s="12"/>
      <c r="D3" s="12"/>
      <c r="E3" s="57"/>
      <c r="F3" s="44" t="s">
        <v>120</v>
      </c>
      <c r="G3" s="44"/>
      <c r="H3" s="44"/>
    </row>
    <row r="4" spans="1:14" ht="15.75" hidden="1" x14ac:dyDescent="0.25">
      <c r="A4" s="12"/>
      <c r="B4" s="12"/>
      <c r="C4" s="12"/>
      <c r="D4" s="12"/>
      <c r="E4" s="57"/>
      <c r="F4" s="44"/>
      <c r="G4" s="44"/>
      <c r="H4" s="44"/>
    </row>
    <row r="5" spans="1:14" ht="15.75" hidden="1" x14ac:dyDescent="0.25">
      <c r="A5" s="12"/>
      <c r="B5" s="12"/>
      <c r="C5" s="12"/>
      <c r="D5" s="12"/>
      <c r="E5" s="57"/>
      <c r="F5" s="44"/>
      <c r="G5" s="44"/>
      <c r="H5" s="44"/>
    </row>
    <row r="6" spans="1:14" ht="15.75" hidden="1" x14ac:dyDescent="0.25">
      <c r="A6" s="12"/>
      <c r="B6" s="12"/>
      <c r="C6" s="12"/>
      <c r="D6" s="12"/>
      <c r="E6" s="57"/>
      <c r="F6" s="44" t="s">
        <v>179</v>
      </c>
      <c r="G6" s="44"/>
      <c r="H6" s="44"/>
    </row>
    <row r="7" spans="1:14" ht="27.75" customHeight="1" x14ac:dyDescent="0.2">
      <c r="A7" s="283" t="s">
        <v>122</v>
      </c>
      <c r="B7" s="284"/>
      <c r="C7" s="284"/>
      <c r="D7" s="284"/>
      <c r="E7" s="284"/>
      <c r="F7" s="284"/>
      <c r="G7" s="284"/>
      <c r="H7" s="45"/>
    </row>
    <row r="8" spans="1:14" ht="27" customHeight="1" thickBot="1" x14ac:dyDescent="0.25">
      <c r="A8" s="285"/>
      <c r="B8" s="285"/>
      <c r="C8" s="285"/>
      <c r="D8" s="285"/>
      <c r="E8" s="285"/>
      <c r="F8" s="285"/>
      <c r="G8" s="285"/>
    </row>
    <row r="9" spans="1:14" s="5" customFormat="1" ht="39.75" customHeight="1" thickBot="1" x14ac:dyDescent="0.25">
      <c r="A9" s="21" t="s">
        <v>0</v>
      </c>
      <c r="B9" s="22" t="s">
        <v>1</v>
      </c>
      <c r="C9" s="22" t="s">
        <v>4</v>
      </c>
      <c r="D9" s="22" t="s">
        <v>2</v>
      </c>
      <c r="E9" s="22" t="s">
        <v>3</v>
      </c>
      <c r="F9" s="22" t="s">
        <v>6</v>
      </c>
      <c r="G9" s="23" t="s">
        <v>5</v>
      </c>
    </row>
    <row r="10" spans="1:14" ht="29.25" customHeight="1" x14ac:dyDescent="0.2">
      <c r="A10" s="61" t="s">
        <v>228</v>
      </c>
      <c r="B10" s="20" t="s">
        <v>145</v>
      </c>
      <c r="C10" s="20" t="s">
        <v>144</v>
      </c>
      <c r="D10" s="19">
        <v>1</v>
      </c>
      <c r="E10" s="19">
        <f t="shared" ref="E10:E18" si="0">D10*$J$26</f>
        <v>850</v>
      </c>
      <c r="F10" s="19">
        <f>C30+C34*9+C40</f>
        <v>2478.1800000000003</v>
      </c>
      <c r="G10" s="59">
        <f t="shared" ref="G10:G22" si="1">E10+F10</f>
        <v>3328.1800000000003</v>
      </c>
    </row>
    <row r="11" spans="1:14" ht="32.25" customHeight="1" x14ac:dyDescent="0.2">
      <c r="A11" s="39" t="s">
        <v>228</v>
      </c>
      <c r="B11" s="183" t="s">
        <v>145</v>
      </c>
      <c r="C11" s="183" t="s">
        <v>226</v>
      </c>
      <c r="D11" s="182">
        <v>1</v>
      </c>
      <c r="E11" s="182">
        <f t="shared" si="0"/>
        <v>850</v>
      </c>
      <c r="F11" s="182">
        <f>C30+C35*9+C40</f>
        <v>2244.9</v>
      </c>
      <c r="G11" s="58">
        <f t="shared" si="1"/>
        <v>3094.9</v>
      </c>
    </row>
    <row r="12" spans="1:14" s="6" customFormat="1" ht="48" customHeight="1" x14ac:dyDescent="0.2">
      <c r="A12" s="39" t="s">
        <v>229</v>
      </c>
      <c r="B12" s="184" t="s">
        <v>53</v>
      </c>
      <c r="C12" s="185" t="s">
        <v>146</v>
      </c>
      <c r="D12" s="184">
        <v>2.6</v>
      </c>
      <c r="E12" s="184">
        <f t="shared" si="0"/>
        <v>2210</v>
      </c>
      <c r="F12" s="184">
        <f>C30+C31+C32+C33+C34*9+C40+C42+C43</f>
        <v>5989.9199999999992</v>
      </c>
      <c r="G12" s="58">
        <f t="shared" si="1"/>
        <v>8199.9199999999983</v>
      </c>
    </row>
    <row r="13" spans="1:14" ht="30" customHeight="1" x14ac:dyDescent="0.2">
      <c r="A13" s="39" t="s">
        <v>102</v>
      </c>
      <c r="B13" s="183" t="s">
        <v>145</v>
      </c>
      <c r="C13" s="183" t="s">
        <v>144</v>
      </c>
      <c r="D13" s="182">
        <v>1</v>
      </c>
      <c r="E13" s="182">
        <f t="shared" si="0"/>
        <v>850</v>
      </c>
      <c r="F13" s="182">
        <f>F10</f>
        <v>2478.1800000000003</v>
      </c>
      <c r="G13" s="58">
        <f t="shared" si="1"/>
        <v>3328.1800000000003</v>
      </c>
    </row>
    <row r="14" spans="1:14" ht="30.75" customHeight="1" x14ac:dyDescent="0.2">
      <c r="A14" s="39" t="s">
        <v>102</v>
      </c>
      <c r="B14" s="4" t="s">
        <v>145</v>
      </c>
      <c r="C14" s="4" t="s">
        <v>227</v>
      </c>
      <c r="D14" s="11">
        <v>1</v>
      </c>
      <c r="E14" s="11">
        <f t="shared" si="0"/>
        <v>850</v>
      </c>
      <c r="F14" s="11">
        <f>F11</f>
        <v>2244.9</v>
      </c>
      <c r="G14" s="58">
        <f t="shared" si="1"/>
        <v>3094.9</v>
      </c>
      <c r="N14" s="3"/>
    </row>
    <row r="15" spans="1:14" ht="40.5" customHeight="1" x14ac:dyDescent="0.2">
      <c r="A15" s="39" t="s">
        <v>230</v>
      </c>
      <c r="B15" s="25" t="s">
        <v>53</v>
      </c>
      <c r="C15" s="24" t="s">
        <v>146</v>
      </c>
      <c r="D15" s="25">
        <v>2.6</v>
      </c>
      <c r="E15" s="25">
        <f t="shared" si="0"/>
        <v>2210</v>
      </c>
      <c r="F15" s="25">
        <f>F12</f>
        <v>5989.9199999999992</v>
      </c>
      <c r="G15" s="58">
        <f t="shared" si="1"/>
        <v>8199.9199999999983</v>
      </c>
      <c r="N15" s="3"/>
    </row>
    <row r="16" spans="1:14" ht="28.5" customHeight="1" x14ac:dyDescent="0.2">
      <c r="A16" s="39" t="s">
        <v>231</v>
      </c>
      <c r="B16" s="4" t="s">
        <v>145</v>
      </c>
      <c r="C16" s="4" t="s">
        <v>144</v>
      </c>
      <c r="D16" s="11">
        <v>1</v>
      </c>
      <c r="E16" s="11">
        <f t="shared" si="0"/>
        <v>850</v>
      </c>
      <c r="F16" s="11">
        <f>F10</f>
        <v>2478.1800000000003</v>
      </c>
      <c r="G16" s="58">
        <f t="shared" si="1"/>
        <v>3328.1800000000003</v>
      </c>
      <c r="N16" s="3"/>
    </row>
    <row r="17" spans="1:14" ht="33" customHeight="1" x14ac:dyDescent="0.2">
      <c r="A17" s="39" t="s">
        <v>231</v>
      </c>
      <c r="B17" s="183" t="s">
        <v>145</v>
      </c>
      <c r="C17" s="183" t="s">
        <v>226</v>
      </c>
      <c r="D17" s="182">
        <v>1</v>
      </c>
      <c r="E17" s="182">
        <f t="shared" si="0"/>
        <v>850</v>
      </c>
      <c r="F17" s="182">
        <f>F11</f>
        <v>2244.9</v>
      </c>
      <c r="G17" s="58">
        <f t="shared" si="1"/>
        <v>3094.9</v>
      </c>
      <c r="N17" s="3"/>
    </row>
    <row r="18" spans="1:14" ht="36" customHeight="1" x14ac:dyDescent="0.2">
      <c r="A18" s="39" t="s">
        <v>232</v>
      </c>
      <c r="B18" s="184" t="s">
        <v>53</v>
      </c>
      <c r="C18" s="185" t="s">
        <v>146</v>
      </c>
      <c r="D18" s="184">
        <v>2.6</v>
      </c>
      <c r="E18" s="184">
        <f t="shared" si="0"/>
        <v>2210</v>
      </c>
      <c r="F18" s="184">
        <f>F12</f>
        <v>5989.9199999999992</v>
      </c>
      <c r="G18" s="58">
        <f t="shared" si="1"/>
        <v>8199.9199999999983</v>
      </c>
      <c r="N18" s="3"/>
    </row>
    <row r="19" spans="1:14" ht="18" customHeight="1" x14ac:dyDescent="0.2">
      <c r="A19" s="190" t="s">
        <v>242</v>
      </c>
      <c r="B19" s="25" t="s">
        <v>63</v>
      </c>
      <c r="C19" s="140" t="s">
        <v>186</v>
      </c>
      <c r="D19" s="25">
        <v>0.2</v>
      </c>
      <c r="E19" s="25">
        <f>D19*J26</f>
        <v>170</v>
      </c>
      <c r="F19" s="25">
        <f>C36*2.5</f>
        <v>2855.55</v>
      </c>
      <c r="G19" s="58">
        <f t="shared" si="1"/>
        <v>3025.55</v>
      </c>
      <c r="N19" s="3"/>
    </row>
    <row r="20" spans="1:14" ht="18.75" customHeight="1" x14ac:dyDescent="0.2">
      <c r="A20" s="190" t="s">
        <v>242</v>
      </c>
      <c r="B20" s="11" t="s">
        <v>64</v>
      </c>
      <c r="C20" s="139" t="s">
        <v>187</v>
      </c>
      <c r="D20" s="11">
        <v>0.2</v>
      </c>
      <c r="E20" s="11">
        <f>D20*$J$26</f>
        <v>170</v>
      </c>
      <c r="F20" s="11">
        <f>C37*2</f>
        <v>521.20000000000005</v>
      </c>
      <c r="G20" s="58">
        <f t="shared" si="1"/>
        <v>691.2</v>
      </c>
    </row>
    <row r="21" spans="1:14" ht="17.25" customHeight="1" x14ac:dyDescent="0.2">
      <c r="A21" s="62" t="s">
        <v>321</v>
      </c>
      <c r="B21" s="25" t="s">
        <v>66</v>
      </c>
      <c r="C21" s="25" t="s">
        <v>7</v>
      </c>
      <c r="D21" s="25">
        <v>0.8</v>
      </c>
      <c r="E21" s="25">
        <f>D21*$J$26</f>
        <v>680</v>
      </c>
      <c r="F21" s="25">
        <f>C38</f>
        <v>625.91999999999996</v>
      </c>
      <c r="G21" s="58">
        <f t="shared" si="1"/>
        <v>1305.92</v>
      </c>
    </row>
    <row r="22" spans="1:14" ht="19.5" customHeight="1" thickBot="1" x14ac:dyDescent="0.25">
      <c r="A22" s="40" t="s">
        <v>322</v>
      </c>
      <c r="B22" s="33" t="s">
        <v>143</v>
      </c>
      <c r="C22" s="75" t="s">
        <v>426</v>
      </c>
      <c r="D22" s="32">
        <v>0.3</v>
      </c>
      <c r="E22" s="32">
        <f>D22*$J$26</f>
        <v>255</v>
      </c>
      <c r="F22" s="32">
        <f>C39*4+C41*5</f>
        <v>2802.93</v>
      </c>
      <c r="G22" s="60">
        <f t="shared" si="1"/>
        <v>3057.93</v>
      </c>
    </row>
    <row r="23" spans="1:14" ht="15.75" x14ac:dyDescent="0.2">
      <c r="A23" s="49"/>
      <c r="B23" s="50"/>
      <c r="C23" s="49"/>
      <c r="D23" s="49"/>
      <c r="E23" s="49"/>
      <c r="F23" s="49"/>
      <c r="G23" s="49"/>
    </row>
    <row r="24" spans="1:14" x14ac:dyDescent="0.2">
      <c r="A24" s="51"/>
      <c r="B24" s="51"/>
      <c r="C24" s="51"/>
      <c r="D24" s="51"/>
      <c r="E24" s="51"/>
      <c r="F24" s="51"/>
      <c r="G24" s="51"/>
    </row>
    <row r="25" spans="1:14" ht="13.5" thickBot="1" x14ac:dyDescent="0.25">
      <c r="A25" s="51"/>
      <c r="B25" s="51"/>
      <c r="C25" s="51"/>
      <c r="D25" s="51"/>
      <c r="E25" s="51"/>
      <c r="F25" s="57"/>
      <c r="G25" s="57"/>
    </row>
    <row r="26" spans="1:14" ht="26.25" thickBot="1" x14ac:dyDescent="0.25">
      <c r="A26" s="51"/>
      <c r="B26" s="51"/>
      <c r="C26" s="51"/>
      <c r="D26" s="51"/>
      <c r="E26" s="51"/>
      <c r="F26" s="51"/>
      <c r="G26" s="51"/>
      <c r="I26" s="118" t="s">
        <v>69</v>
      </c>
      <c r="J26" s="119">
        <v>850</v>
      </c>
    </row>
    <row r="27" spans="1:14" x14ac:dyDescent="0.2">
      <c r="A27" s="51"/>
      <c r="B27" s="51"/>
      <c r="C27" s="51"/>
      <c r="D27" s="51"/>
      <c r="E27" s="51"/>
      <c r="F27" s="51"/>
      <c r="G27" s="51"/>
    </row>
    <row r="28" spans="1:14" ht="13.5" thickBot="1" x14ac:dyDescent="0.25">
      <c r="A28" s="51"/>
      <c r="B28" s="296" t="s">
        <v>180</v>
      </c>
      <c r="C28" s="296"/>
      <c r="D28" s="51"/>
      <c r="E28" s="51"/>
      <c r="F28" s="51"/>
      <c r="G28" s="51"/>
    </row>
    <row r="29" spans="1:14" ht="18.75" thickBot="1" x14ac:dyDescent="0.3">
      <c r="A29" s="51"/>
      <c r="B29" s="48" t="s">
        <v>49</v>
      </c>
      <c r="C29" s="132" t="s">
        <v>121</v>
      </c>
      <c r="D29" s="51"/>
      <c r="E29" s="51"/>
      <c r="F29" s="51"/>
      <c r="G29" s="51"/>
    </row>
    <row r="30" spans="1:14" ht="14.25" x14ac:dyDescent="0.2">
      <c r="A30" s="52"/>
      <c r="B30" s="120" t="s">
        <v>155</v>
      </c>
      <c r="C30" s="133">
        <v>523.20000000000005</v>
      </c>
      <c r="D30" s="51"/>
      <c r="E30" s="51"/>
      <c r="F30" s="51"/>
      <c r="G30" s="51"/>
    </row>
    <row r="31" spans="1:14" ht="14.25" x14ac:dyDescent="0.2">
      <c r="A31" s="52"/>
      <c r="B31" s="120" t="s">
        <v>449</v>
      </c>
      <c r="C31" s="135">
        <v>916.2</v>
      </c>
      <c r="D31" s="51"/>
      <c r="E31" s="51"/>
      <c r="F31" s="51"/>
      <c r="G31" s="51"/>
    </row>
    <row r="32" spans="1:14" ht="14.25" x14ac:dyDescent="0.2">
      <c r="A32" s="52"/>
      <c r="B32" s="120" t="s">
        <v>450</v>
      </c>
      <c r="C32" s="134">
        <v>1269.8399999999999</v>
      </c>
      <c r="D32" s="51"/>
      <c r="E32" s="51"/>
      <c r="F32" s="51"/>
      <c r="G32" s="51"/>
    </row>
    <row r="33" spans="1:7" ht="14.25" x14ac:dyDescent="0.2">
      <c r="A33" s="53"/>
      <c r="B33" s="120" t="s">
        <v>416</v>
      </c>
      <c r="C33" s="135">
        <v>1126.6199999999999</v>
      </c>
      <c r="D33" s="49"/>
      <c r="E33" s="49"/>
      <c r="F33" s="49"/>
      <c r="G33" s="49"/>
    </row>
    <row r="34" spans="1:7" ht="14.25" x14ac:dyDescent="0.2">
      <c r="A34" s="16"/>
      <c r="B34" s="120" t="s">
        <v>431</v>
      </c>
      <c r="C34" s="126">
        <v>213.24</v>
      </c>
      <c r="D34" s="17"/>
      <c r="E34" s="49"/>
      <c r="F34" s="49"/>
      <c r="G34" s="49"/>
    </row>
    <row r="35" spans="1:7" ht="14.25" x14ac:dyDescent="0.2">
      <c r="A35" s="53"/>
      <c r="B35" s="120" t="s">
        <v>451</v>
      </c>
      <c r="C35" s="135">
        <v>187.32</v>
      </c>
      <c r="D35" s="49"/>
      <c r="E35" s="49"/>
      <c r="F35" s="49"/>
      <c r="G35" s="49"/>
    </row>
    <row r="36" spans="1:7" ht="14.25" x14ac:dyDescent="0.2">
      <c r="A36" s="53"/>
      <c r="B36" s="130" t="s">
        <v>433</v>
      </c>
      <c r="C36" s="126">
        <v>1142.22</v>
      </c>
      <c r="D36" s="49"/>
      <c r="E36" s="49"/>
      <c r="F36" s="49"/>
      <c r="G36" s="49"/>
    </row>
    <row r="37" spans="1:7" ht="14.25" x14ac:dyDescent="0.2">
      <c r="A37" s="53"/>
      <c r="B37" s="120" t="s">
        <v>452</v>
      </c>
      <c r="C37" s="135">
        <v>260.60000000000002</v>
      </c>
      <c r="D37" s="49"/>
      <c r="E37" s="49"/>
      <c r="F37" s="49"/>
      <c r="G37" s="49"/>
    </row>
    <row r="38" spans="1:7" ht="14.25" x14ac:dyDescent="0.2">
      <c r="A38" s="16"/>
      <c r="B38" s="130" t="s">
        <v>435</v>
      </c>
      <c r="C38" s="126">
        <v>625.91999999999996</v>
      </c>
      <c r="D38" s="49"/>
      <c r="E38" s="49"/>
      <c r="F38" s="49"/>
      <c r="G38" s="49"/>
    </row>
    <row r="39" spans="1:7" ht="14.25" x14ac:dyDescent="0.2">
      <c r="A39" s="16"/>
      <c r="B39" s="130" t="s">
        <v>436</v>
      </c>
      <c r="C39" s="126">
        <v>681.12</v>
      </c>
      <c r="D39" s="17"/>
      <c r="E39" s="49"/>
      <c r="F39" s="49"/>
      <c r="G39" s="49"/>
    </row>
    <row r="40" spans="1:7" ht="14.25" x14ac:dyDescent="0.2">
      <c r="A40" s="53"/>
      <c r="B40" s="130" t="s">
        <v>437</v>
      </c>
      <c r="C40" s="126">
        <v>35.82</v>
      </c>
      <c r="D40" s="49"/>
      <c r="E40" s="49"/>
      <c r="F40" s="49"/>
      <c r="G40" s="49"/>
    </row>
    <row r="41" spans="1:7" ht="14.25" x14ac:dyDescent="0.2">
      <c r="A41" s="16"/>
      <c r="B41" s="130" t="s">
        <v>438</v>
      </c>
      <c r="C41" s="126">
        <v>15.69</v>
      </c>
      <c r="D41" s="17"/>
      <c r="E41" s="49"/>
      <c r="F41" s="49"/>
      <c r="G41" s="49"/>
    </row>
    <row r="42" spans="1:7" ht="14.25" x14ac:dyDescent="0.2">
      <c r="A42" s="16"/>
      <c r="B42" s="130" t="s">
        <v>443</v>
      </c>
      <c r="C42" s="126">
        <v>94.26</v>
      </c>
      <c r="D42" s="17"/>
      <c r="E42" s="49"/>
      <c r="F42" s="49"/>
      <c r="G42" s="49"/>
    </row>
    <row r="43" spans="1:7" ht="15" thickBot="1" x14ac:dyDescent="0.25">
      <c r="A43" s="16"/>
      <c r="B43" s="131" t="s">
        <v>444</v>
      </c>
      <c r="C43" s="127">
        <v>104.82</v>
      </c>
      <c r="D43" s="17"/>
      <c r="E43" s="49"/>
      <c r="F43" s="49"/>
      <c r="G43" s="49"/>
    </row>
    <row r="44" spans="1:7" x14ac:dyDescent="0.2">
      <c r="A44" s="53"/>
      <c r="B44" s="49"/>
      <c r="C44" s="49"/>
      <c r="D44" s="49"/>
      <c r="E44" s="49"/>
      <c r="F44" s="49"/>
      <c r="G44" s="49"/>
    </row>
    <row r="45" spans="1:7" x14ac:dyDescent="0.2">
      <c r="A45" s="54"/>
      <c r="B45" s="57"/>
      <c r="C45" s="57"/>
      <c r="D45" s="57"/>
      <c r="E45" s="57"/>
      <c r="F45" s="57"/>
      <c r="G45" s="57"/>
    </row>
    <row r="46" spans="1:7" x14ac:dyDescent="0.2">
      <c r="A46" s="54"/>
      <c r="B46" s="57"/>
      <c r="C46" s="57"/>
      <c r="D46" s="57"/>
      <c r="E46" s="57"/>
      <c r="F46" s="57"/>
      <c r="G46" s="57"/>
    </row>
    <row r="47" spans="1:7" x14ac:dyDescent="0.2">
      <c r="A47" s="54"/>
      <c r="B47" s="57"/>
      <c r="C47" s="57"/>
      <c r="D47" s="57"/>
      <c r="E47" s="57"/>
      <c r="F47" s="57"/>
      <c r="G47" s="57"/>
    </row>
    <row r="48" spans="1:7" x14ac:dyDescent="0.2">
      <c r="A48" s="54"/>
      <c r="B48" s="57"/>
      <c r="C48" s="57"/>
      <c r="D48" s="57"/>
      <c r="E48" s="57"/>
      <c r="F48" s="57"/>
      <c r="G48" s="57"/>
    </row>
    <row r="49" spans="1:7" x14ac:dyDescent="0.2">
      <c r="A49" s="54"/>
      <c r="B49" s="57"/>
      <c r="C49" s="57"/>
      <c r="D49" s="57"/>
      <c r="E49" s="57"/>
      <c r="F49" s="57"/>
      <c r="G49" s="57"/>
    </row>
    <row r="50" spans="1:7" x14ac:dyDescent="0.2">
      <c r="A50" s="57"/>
      <c r="B50" s="57"/>
      <c r="C50" s="57"/>
      <c r="D50" s="57"/>
      <c r="E50" s="57"/>
      <c r="F50" s="57"/>
      <c r="G50" s="57"/>
    </row>
    <row r="51" spans="1:7" x14ac:dyDescent="0.2">
      <c r="A51" s="57"/>
      <c r="B51" s="57"/>
      <c r="C51" s="57"/>
      <c r="D51" s="57"/>
      <c r="E51" s="57"/>
      <c r="F51" s="57"/>
      <c r="G51" s="57"/>
    </row>
    <row r="52" spans="1:7" x14ac:dyDescent="0.2">
      <c r="A52" s="57"/>
      <c r="B52" s="57"/>
      <c r="C52" s="57"/>
      <c r="D52" s="57"/>
      <c r="E52" s="57"/>
      <c r="F52" s="57"/>
      <c r="G52" s="57"/>
    </row>
    <row r="53" spans="1:7" x14ac:dyDescent="0.2">
      <c r="A53" s="57"/>
      <c r="B53" s="57"/>
      <c r="C53" s="57"/>
      <c r="D53" s="57"/>
      <c r="E53" s="57"/>
      <c r="F53" s="57"/>
      <c r="G53" s="57"/>
    </row>
    <row r="54" spans="1:7" x14ac:dyDescent="0.2">
      <c r="A54" s="57"/>
      <c r="B54" s="57"/>
      <c r="C54" s="57"/>
      <c r="D54" s="57"/>
      <c r="E54" s="57"/>
      <c r="F54" s="57"/>
      <c r="G54" s="57"/>
    </row>
    <row r="55" spans="1:7" x14ac:dyDescent="0.2">
      <c r="A55" s="57"/>
      <c r="B55" s="57"/>
      <c r="C55" s="57"/>
      <c r="D55" s="57"/>
      <c r="E55" s="57"/>
      <c r="F55" s="57"/>
      <c r="G55" s="57"/>
    </row>
    <row r="56" spans="1:7" x14ac:dyDescent="0.2">
      <c r="A56" s="57"/>
      <c r="B56" s="57"/>
      <c r="C56" s="57"/>
      <c r="D56" s="57"/>
      <c r="E56" s="57"/>
      <c r="F56" s="57"/>
      <c r="G56" s="57"/>
    </row>
    <row r="57" spans="1:7" x14ac:dyDescent="0.2">
      <c r="A57" s="57"/>
      <c r="B57" s="57"/>
      <c r="C57" s="57"/>
      <c r="D57" s="57"/>
      <c r="E57" s="57"/>
      <c r="F57" s="57"/>
      <c r="G57" s="57"/>
    </row>
    <row r="58" spans="1:7" x14ac:dyDescent="0.2">
      <c r="A58" s="57"/>
      <c r="B58" s="57"/>
      <c r="C58" s="57"/>
      <c r="D58" s="57"/>
      <c r="E58" s="57"/>
      <c r="F58" s="57"/>
      <c r="G58" s="57"/>
    </row>
    <row r="59" spans="1:7" x14ac:dyDescent="0.2">
      <c r="A59" s="57"/>
      <c r="B59" s="57"/>
      <c r="C59" s="57"/>
      <c r="D59" s="57"/>
      <c r="E59" s="57"/>
      <c r="F59" s="57"/>
      <c r="G59" s="57"/>
    </row>
    <row r="60" spans="1:7" x14ac:dyDescent="0.2">
      <c r="A60" s="57"/>
      <c r="B60" s="57"/>
      <c r="C60" s="57"/>
      <c r="D60" s="57"/>
      <c r="E60" s="57"/>
      <c r="F60" s="57"/>
      <c r="G60" s="57"/>
    </row>
    <row r="61" spans="1:7" x14ac:dyDescent="0.2">
      <c r="A61" s="57"/>
      <c r="B61" s="57"/>
      <c r="C61" s="57"/>
      <c r="D61" s="57"/>
      <c r="E61" s="57"/>
      <c r="F61" s="57"/>
      <c r="G61" s="57"/>
    </row>
    <row r="62" spans="1:7" x14ac:dyDescent="0.2">
      <c r="A62" s="57"/>
      <c r="B62" s="57"/>
      <c r="C62" s="57"/>
      <c r="D62" s="57"/>
      <c r="E62" s="57"/>
      <c r="F62" s="57"/>
      <c r="G62" s="57"/>
    </row>
    <row r="63" spans="1:7" x14ac:dyDescent="0.2">
      <c r="A63" s="57"/>
      <c r="B63" s="57"/>
      <c r="C63" s="57"/>
      <c r="D63" s="57"/>
      <c r="E63" s="57"/>
      <c r="F63" s="57"/>
      <c r="G63" s="57"/>
    </row>
    <row r="64" spans="1:7" x14ac:dyDescent="0.2">
      <c r="A64" s="57"/>
      <c r="B64" s="57"/>
      <c r="C64" s="57"/>
      <c r="D64" s="57"/>
      <c r="E64" s="57"/>
      <c r="F64" s="57"/>
      <c r="G64" s="57"/>
    </row>
    <row r="65" spans="1:7" x14ac:dyDescent="0.2">
      <c r="A65" s="57"/>
      <c r="B65" s="57"/>
      <c r="C65" s="57"/>
      <c r="D65" s="57"/>
      <c r="E65" s="57"/>
      <c r="F65" s="57"/>
      <c r="G65" s="57"/>
    </row>
    <row r="66" spans="1:7" x14ac:dyDescent="0.2">
      <c r="A66" s="57"/>
      <c r="B66" s="57"/>
      <c r="C66" s="57"/>
      <c r="D66" s="57"/>
      <c r="E66" s="57"/>
      <c r="F66" s="57"/>
      <c r="G66" s="57"/>
    </row>
    <row r="67" spans="1:7" x14ac:dyDescent="0.2">
      <c r="A67" s="57"/>
      <c r="B67" s="57"/>
      <c r="C67" s="57"/>
      <c r="D67" s="57"/>
      <c r="E67" s="57"/>
      <c r="F67" s="57"/>
      <c r="G67" s="57"/>
    </row>
    <row r="68" spans="1:7" x14ac:dyDescent="0.2">
      <c r="A68" s="57"/>
      <c r="B68" s="57"/>
      <c r="C68" s="57"/>
      <c r="D68" s="57"/>
      <c r="E68" s="57"/>
      <c r="F68" s="57"/>
      <c r="G68" s="57"/>
    </row>
    <row r="69" spans="1:7" x14ac:dyDescent="0.2">
      <c r="A69" s="57"/>
      <c r="B69" s="57"/>
      <c r="C69" s="57"/>
      <c r="D69" s="57"/>
      <c r="E69" s="57"/>
      <c r="F69" s="57"/>
      <c r="G69" s="57"/>
    </row>
    <row r="70" spans="1:7" x14ac:dyDescent="0.2">
      <c r="A70" s="57"/>
      <c r="B70" s="57"/>
      <c r="C70" s="57"/>
      <c r="D70" s="57"/>
      <c r="E70" s="57"/>
      <c r="F70" s="57"/>
      <c r="G70" s="57"/>
    </row>
    <row r="71" spans="1:7" x14ac:dyDescent="0.2">
      <c r="A71" s="57"/>
      <c r="B71" s="57"/>
      <c r="C71" s="57"/>
      <c r="D71" s="57"/>
      <c r="E71" s="57"/>
      <c r="F71" s="57"/>
      <c r="G71" s="57"/>
    </row>
    <row r="72" spans="1:7" x14ac:dyDescent="0.2">
      <c r="A72" s="57"/>
      <c r="B72" s="57"/>
      <c r="C72" s="57"/>
      <c r="D72" s="57"/>
      <c r="E72" s="57"/>
      <c r="F72" s="57"/>
      <c r="G72" s="57"/>
    </row>
    <row r="73" spans="1:7" x14ac:dyDescent="0.2">
      <c r="A73" s="57"/>
      <c r="B73" s="57"/>
      <c r="C73" s="57"/>
      <c r="D73" s="57"/>
      <c r="E73" s="57"/>
      <c r="F73" s="57"/>
      <c r="G73" s="57"/>
    </row>
    <row r="74" spans="1:7" x14ac:dyDescent="0.2">
      <c r="A74" s="57"/>
      <c r="B74" s="57"/>
      <c r="C74" s="57"/>
      <c r="D74" s="57"/>
      <c r="E74" s="57"/>
      <c r="F74" s="57"/>
      <c r="G74" s="57"/>
    </row>
    <row r="75" spans="1:7" x14ac:dyDescent="0.2">
      <c r="A75" s="57"/>
      <c r="B75" s="57"/>
      <c r="C75" s="57"/>
      <c r="D75" s="57"/>
      <c r="E75" s="57"/>
      <c r="F75" s="57"/>
      <c r="G75" s="57"/>
    </row>
    <row r="76" spans="1:7" x14ac:dyDescent="0.2">
      <c r="A76" s="57"/>
      <c r="B76" s="57"/>
      <c r="C76" s="57"/>
      <c r="D76" s="57"/>
      <c r="E76" s="57"/>
      <c r="F76" s="57"/>
      <c r="G76" s="57"/>
    </row>
    <row r="77" spans="1:7" x14ac:dyDescent="0.2">
      <c r="A77" s="57"/>
      <c r="B77" s="57"/>
      <c r="C77" s="57"/>
      <c r="D77" s="57"/>
      <c r="E77" s="57"/>
      <c r="F77" s="57"/>
      <c r="G77" s="57"/>
    </row>
    <row r="78" spans="1:7" x14ac:dyDescent="0.2">
      <c r="A78" s="57"/>
      <c r="B78" s="57"/>
      <c r="C78" s="57"/>
      <c r="D78" s="57"/>
      <c r="E78" s="57"/>
      <c r="F78" s="57"/>
      <c r="G78" s="57"/>
    </row>
    <row r="79" spans="1:7" x14ac:dyDescent="0.2">
      <c r="A79" s="57"/>
      <c r="B79" s="57"/>
      <c r="C79" s="57"/>
      <c r="D79" s="57"/>
      <c r="E79" s="57"/>
      <c r="F79" s="57"/>
      <c r="G79" s="57"/>
    </row>
    <row r="80" spans="1:7" x14ac:dyDescent="0.2">
      <c r="A80" s="57"/>
      <c r="B80" s="57"/>
      <c r="C80" s="57"/>
      <c r="D80" s="57"/>
      <c r="E80" s="57"/>
      <c r="F80" s="57"/>
      <c r="G80" s="57"/>
    </row>
    <row r="81" spans="1:7" x14ac:dyDescent="0.2">
      <c r="A81" s="57"/>
      <c r="B81" s="57"/>
      <c r="C81" s="57"/>
      <c r="D81" s="57"/>
      <c r="E81" s="57"/>
      <c r="F81" s="57"/>
      <c r="G81" s="57"/>
    </row>
    <row r="82" spans="1:7" x14ac:dyDescent="0.2">
      <c r="A82" s="57"/>
      <c r="B82" s="57"/>
      <c r="C82" s="57"/>
      <c r="D82" s="57"/>
      <c r="E82" s="57"/>
      <c r="F82" s="57"/>
      <c r="G82" s="57"/>
    </row>
    <row r="83" spans="1:7" x14ac:dyDescent="0.2">
      <c r="A83" s="57"/>
      <c r="B83" s="57"/>
      <c r="C83" s="57"/>
      <c r="D83" s="57"/>
      <c r="E83" s="57"/>
      <c r="F83" s="57"/>
      <c r="G83" s="57"/>
    </row>
    <row r="84" spans="1:7" x14ac:dyDescent="0.2">
      <c r="A84" s="57"/>
      <c r="B84" s="57"/>
      <c r="C84" s="57"/>
      <c r="D84" s="57"/>
      <c r="E84" s="57"/>
      <c r="F84" s="57"/>
      <c r="G84" s="57"/>
    </row>
    <row r="85" spans="1:7" x14ac:dyDescent="0.2">
      <c r="A85" s="57"/>
      <c r="B85" s="57"/>
      <c r="C85" s="57"/>
      <c r="D85" s="57"/>
      <c r="E85" s="57"/>
      <c r="F85" s="57"/>
      <c r="G85" s="57"/>
    </row>
    <row r="86" spans="1:7" x14ac:dyDescent="0.2">
      <c r="A86" s="57"/>
      <c r="B86" s="57"/>
      <c r="C86" s="57"/>
      <c r="D86" s="57"/>
      <c r="E86" s="57"/>
      <c r="F86" s="57"/>
      <c r="G86" s="57"/>
    </row>
    <row r="87" spans="1:7" x14ac:dyDescent="0.2">
      <c r="A87" s="57"/>
      <c r="B87" s="57"/>
      <c r="C87" s="57"/>
      <c r="D87" s="57"/>
      <c r="E87" s="57"/>
      <c r="F87" s="57"/>
      <c r="G87" s="57"/>
    </row>
    <row r="88" spans="1:7" x14ac:dyDescent="0.2">
      <c r="A88" s="57"/>
      <c r="B88" s="57"/>
      <c r="C88" s="57"/>
      <c r="D88" s="57"/>
      <c r="E88" s="57"/>
      <c r="F88" s="57"/>
      <c r="G88" s="57"/>
    </row>
    <row r="89" spans="1:7" x14ac:dyDescent="0.2">
      <c r="A89" s="57"/>
      <c r="B89" s="57"/>
      <c r="C89" s="57"/>
      <c r="D89" s="57"/>
      <c r="E89" s="57"/>
      <c r="F89" s="57"/>
      <c r="G89" s="57"/>
    </row>
    <row r="90" spans="1:7" x14ac:dyDescent="0.2">
      <c r="A90" s="57"/>
      <c r="B90" s="57"/>
      <c r="C90" s="57"/>
      <c r="D90" s="57"/>
      <c r="E90" s="57"/>
      <c r="F90" s="57"/>
      <c r="G90" s="57"/>
    </row>
    <row r="91" spans="1:7" x14ac:dyDescent="0.2">
      <c r="A91" s="57"/>
      <c r="B91" s="57"/>
      <c r="C91" s="57"/>
      <c r="D91" s="57"/>
      <c r="E91" s="57"/>
      <c r="F91" s="57"/>
      <c r="G91" s="57"/>
    </row>
    <row r="92" spans="1:7" x14ac:dyDescent="0.2">
      <c r="A92" s="57"/>
      <c r="B92" s="57"/>
      <c r="C92" s="57"/>
      <c r="D92" s="57"/>
      <c r="E92" s="57"/>
      <c r="F92" s="57"/>
      <c r="G92" s="57"/>
    </row>
    <row r="93" spans="1:7" x14ac:dyDescent="0.2">
      <c r="A93" s="57"/>
      <c r="B93" s="57"/>
      <c r="C93" s="57"/>
      <c r="D93" s="57"/>
      <c r="E93" s="57"/>
      <c r="F93" s="57"/>
      <c r="G93" s="57"/>
    </row>
    <row r="94" spans="1:7" x14ac:dyDescent="0.2">
      <c r="A94" s="57"/>
      <c r="B94" s="57"/>
      <c r="C94" s="57"/>
      <c r="D94" s="57"/>
      <c r="E94" s="57"/>
      <c r="F94" s="57"/>
      <c r="G94" s="57"/>
    </row>
    <row r="95" spans="1:7" x14ac:dyDescent="0.2">
      <c r="A95" s="57"/>
      <c r="B95" s="57"/>
      <c r="C95" s="57"/>
      <c r="D95" s="57"/>
      <c r="E95" s="57"/>
      <c r="F95" s="57"/>
      <c r="G95" s="57"/>
    </row>
    <row r="96" spans="1:7" x14ac:dyDescent="0.2">
      <c r="A96" s="57"/>
      <c r="B96" s="57"/>
      <c r="C96" s="57"/>
      <c r="D96" s="57"/>
      <c r="E96" s="57"/>
      <c r="F96" s="57"/>
      <c r="G96" s="57"/>
    </row>
    <row r="97" spans="1:7" x14ac:dyDescent="0.2">
      <c r="A97" s="57"/>
      <c r="B97" s="57"/>
      <c r="C97" s="57"/>
      <c r="D97" s="57"/>
      <c r="E97" s="57"/>
      <c r="F97" s="57"/>
      <c r="G97" s="57"/>
    </row>
    <row r="98" spans="1:7" x14ac:dyDescent="0.2">
      <c r="A98" s="57"/>
      <c r="B98" s="57"/>
      <c r="C98" s="57"/>
      <c r="D98" s="57"/>
      <c r="E98" s="57"/>
      <c r="F98" s="57"/>
      <c r="G98" s="57"/>
    </row>
    <row r="99" spans="1:7" x14ac:dyDescent="0.2">
      <c r="A99" s="57"/>
      <c r="B99" s="57"/>
      <c r="C99" s="57"/>
      <c r="D99" s="57"/>
      <c r="E99" s="57"/>
      <c r="F99" s="57"/>
      <c r="G99" s="57"/>
    </row>
    <row r="100" spans="1:7" x14ac:dyDescent="0.2">
      <c r="A100" s="57"/>
      <c r="B100" s="57"/>
      <c r="C100" s="57"/>
      <c r="D100" s="57"/>
      <c r="E100" s="57"/>
      <c r="F100" s="57"/>
      <c r="G100" s="57"/>
    </row>
    <row r="101" spans="1:7" x14ac:dyDescent="0.2">
      <c r="A101" s="57"/>
      <c r="B101" s="57"/>
      <c r="C101" s="57"/>
      <c r="D101" s="57"/>
      <c r="E101" s="57"/>
      <c r="F101" s="57"/>
      <c r="G101" s="57"/>
    </row>
    <row r="102" spans="1:7" x14ac:dyDescent="0.2">
      <c r="A102" s="57"/>
      <c r="B102" s="57"/>
      <c r="C102" s="57"/>
      <c r="D102" s="57"/>
      <c r="E102" s="57"/>
      <c r="F102" s="57"/>
      <c r="G102" s="57"/>
    </row>
    <row r="103" spans="1:7" x14ac:dyDescent="0.2">
      <c r="A103" s="57"/>
      <c r="B103" s="57"/>
      <c r="C103" s="57"/>
      <c r="D103" s="57"/>
      <c r="E103" s="57"/>
      <c r="F103" s="57"/>
      <c r="G103" s="57"/>
    </row>
    <row r="104" spans="1:7" x14ac:dyDescent="0.2">
      <c r="A104" s="57"/>
      <c r="B104" s="57"/>
      <c r="C104" s="57"/>
      <c r="D104" s="57"/>
      <c r="E104" s="57"/>
      <c r="F104" s="57"/>
      <c r="G104" s="57"/>
    </row>
    <row r="105" spans="1:7" x14ac:dyDescent="0.2">
      <c r="A105" s="57"/>
      <c r="B105" s="57"/>
      <c r="C105" s="57"/>
      <c r="D105" s="57"/>
      <c r="E105" s="57"/>
      <c r="F105" s="57"/>
      <c r="G105" s="57"/>
    </row>
    <row r="106" spans="1:7" x14ac:dyDescent="0.2">
      <c r="A106" s="57"/>
      <c r="B106" s="57"/>
      <c r="C106" s="57"/>
      <c r="D106" s="57"/>
      <c r="E106" s="57"/>
      <c r="F106" s="57"/>
      <c r="G106" s="57"/>
    </row>
    <row r="107" spans="1:7" x14ac:dyDescent="0.2">
      <c r="A107" s="57"/>
      <c r="B107" s="57"/>
      <c r="C107" s="57"/>
      <c r="D107" s="57"/>
      <c r="E107" s="57"/>
      <c r="F107" s="57"/>
      <c r="G107" s="57"/>
    </row>
    <row r="108" spans="1:7" x14ac:dyDescent="0.2">
      <c r="A108" s="57"/>
      <c r="B108" s="57"/>
      <c r="C108" s="57"/>
      <c r="D108" s="57"/>
      <c r="E108" s="57"/>
      <c r="F108" s="57"/>
      <c r="G108" s="57"/>
    </row>
    <row r="109" spans="1:7" x14ac:dyDescent="0.2">
      <c r="A109" s="57"/>
      <c r="B109" s="57"/>
      <c r="C109" s="57"/>
      <c r="D109" s="57"/>
      <c r="E109" s="57"/>
      <c r="F109" s="57"/>
      <c r="G109" s="57"/>
    </row>
    <row r="110" spans="1:7" x14ac:dyDescent="0.2">
      <c r="A110" s="57"/>
      <c r="B110" s="57"/>
      <c r="C110" s="57"/>
      <c r="D110" s="57"/>
      <c r="E110" s="57"/>
      <c r="F110" s="57"/>
      <c r="G110" s="57"/>
    </row>
    <row r="111" spans="1:7" x14ac:dyDescent="0.2">
      <c r="A111" s="57"/>
      <c r="B111" s="57"/>
      <c r="C111" s="57"/>
      <c r="D111" s="57"/>
      <c r="E111" s="57"/>
      <c r="F111" s="57"/>
      <c r="G111" s="57"/>
    </row>
    <row r="112" spans="1:7" x14ac:dyDescent="0.2">
      <c r="A112" s="57"/>
      <c r="B112" s="57"/>
      <c r="C112" s="57"/>
      <c r="D112" s="57"/>
      <c r="E112" s="57"/>
      <c r="F112" s="57"/>
      <c r="G112" s="57"/>
    </row>
    <row r="113" spans="1:7" x14ac:dyDescent="0.2">
      <c r="A113" s="57"/>
      <c r="B113" s="57"/>
      <c r="C113" s="57"/>
      <c r="D113" s="57"/>
      <c r="E113" s="57"/>
      <c r="F113" s="57"/>
      <c r="G113" s="57"/>
    </row>
    <row r="114" spans="1:7" x14ac:dyDescent="0.2">
      <c r="A114" s="57"/>
      <c r="B114" s="57"/>
      <c r="C114" s="57"/>
      <c r="D114" s="57"/>
      <c r="E114" s="57"/>
      <c r="F114" s="57"/>
      <c r="G114" s="57"/>
    </row>
    <row r="115" spans="1:7" x14ac:dyDescent="0.2">
      <c r="A115" s="57"/>
      <c r="B115" s="57"/>
      <c r="C115" s="57"/>
      <c r="D115" s="57"/>
      <c r="E115" s="57"/>
      <c r="F115" s="57"/>
      <c r="G115" s="57"/>
    </row>
    <row r="116" spans="1:7" x14ac:dyDescent="0.2">
      <c r="A116" s="57"/>
      <c r="B116" s="57"/>
      <c r="C116" s="57"/>
      <c r="D116" s="57"/>
      <c r="E116" s="57"/>
      <c r="F116" s="57"/>
      <c r="G116" s="57"/>
    </row>
    <row r="117" spans="1:7" x14ac:dyDescent="0.2">
      <c r="A117" s="57"/>
      <c r="B117" s="57"/>
      <c r="C117" s="57"/>
      <c r="D117" s="57"/>
      <c r="E117" s="57"/>
      <c r="F117" s="57"/>
      <c r="G117" s="57"/>
    </row>
    <row r="118" spans="1:7" x14ac:dyDescent="0.2">
      <c r="A118" s="57"/>
      <c r="B118" s="57"/>
      <c r="C118" s="57"/>
      <c r="D118" s="57"/>
      <c r="E118" s="57"/>
      <c r="F118" s="57"/>
      <c r="G118" s="57"/>
    </row>
    <row r="119" spans="1:7" x14ac:dyDescent="0.2">
      <c r="A119" s="57"/>
      <c r="B119" s="57"/>
      <c r="C119" s="57"/>
      <c r="D119" s="57"/>
      <c r="E119" s="57"/>
      <c r="F119" s="57"/>
      <c r="G119" s="57"/>
    </row>
    <row r="120" spans="1:7" x14ac:dyDescent="0.2">
      <c r="A120" s="57"/>
      <c r="B120" s="57"/>
      <c r="C120" s="57"/>
      <c r="D120" s="57"/>
      <c r="E120" s="57"/>
      <c r="F120" s="57"/>
      <c r="G120" s="57"/>
    </row>
    <row r="121" spans="1:7" x14ac:dyDescent="0.2">
      <c r="A121" s="57"/>
      <c r="B121" s="57"/>
      <c r="C121" s="57"/>
      <c r="D121" s="57"/>
      <c r="E121" s="57"/>
      <c r="F121" s="57"/>
      <c r="G121" s="57"/>
    </row>
    <row r="122" spans="1:7" x14ac:dyDescent="0.2">
      <c r="A122" s="57"/>
      <c r="B122" s="57"/>
      <c r="C122" s="57"/>
      <c r="D122" s="57"/>
      <c r="E122" s="57"/>
      <c r="F122" s="57"/>
      <c r="G122" s="57"/>
    </row>
    <row r="123" spans="1:7" x14ac:dyDescent="0.2">
      <c r="A123" s="57"/>
      <c r="B123" s="57"/>
      <c r="C123" s="57"/>
      <c r="D123" s="57"/>
      <c r="E123" s="57"/>
      <c r="F123" s="57"/>
      <c r="G123" s="57"/>
    </row>
    <row r="124" spans="1:7" x14ac:dyDescent="0.2">
      <c r="A124" s="57"/>
      <c r="B124" s="57"/>
      <c r="C124" s="57"/>
      <c r="D124" s="57"/>
      <c r="E124" s="57"/>
      <c r="F124" s="57"/>
      <c r="G124" s="57"/>
    </row>
    <row r="125" spans="1:7" x14ac:dyDescent="0.2">
      <c r="A125" s="57"/>
      <c r="B125" s="57"/>
      <c r="C125" s="57"/>
      <c r="D125" s="57"/>
      <c r="E125" s="57"/>
      <c r="F125" s="57"/>
      <c r="G125" s="57"/>
    </row>
    <row r="126" spans="1:7" x14ac:dyDescent="0.2">
      <c r="A126" s="57"/>
      <c r="B126" s="57"/>
      <c r="C126" s="57"/>
      <c r="D126" s="57"/>
      <c r="E126" s="57"/>
      <c r="F126" s="57"/>
      <c r="G126" s="57"/>
    </row>
    <row r="127" spans="1:7" x14ac:dyDescent="0.2">
      <c r="A127" s="57"/>
      <c r="B127" s="57"/>
      <c r="C127" s="57"/>
      <c r="D127" s="57"/>
      <c r="E127" s="57"/>
      <c r="F127" s="57"/>
      <c r="G127" s="57"/>
    </row>
    <row r="128" spans="1:7" x14ac:dyDescent="0.2">
      <c r="A128" s="57"/>
      <c r="B128" s="57"/>
      <c r="C128" s="57"/>
      <c r="D128" s="57"/>
      <c r="E128" s="57"/>
      <c r="F128" s="57"/>
      <c r="G128" s="57"/>
    </row>
    <row r="129" spans="1:7" x14ac:dyDescent="0.2">
      <c r="A129" s="57"/>
      <c r="B129" s="57"/>
      <c r="C129" s="57"/>
      <c r="D129" s="57"/>
      <c r="E129" s="57"/>
      <c r="F129" s="57"/>
      <c r="G129" s="57"/>
    </row>
    <row r="130" spans="1:7" x14ac:dyDescent="0.2">
      <c r="A130" s="57"/>
      <c r="B130" s="57"/>
      <c r="C130" s="57"/>
      <c r="D130" s="57"/>
      <c r="E130" s="57"/>
      <c r="F130" s="57"/>
      <c r="G130" s="57"/>
    </row>
    <row r="131" spans="1:7" x14ac:dyDescent="0.2">
      <c r="A131" s="57"/>
      <c r="B131" s="57"/>
      <c r="C131" s="57"/>
      <c r="D131" s="57"/>
      <c r="E131" s="57"/>
      <c r="F131" s="57"/>
      <c r="G131" s="57"/>
    </row>
    <row r="132" spans="1:7" x14ac:dyDescent="0.2">
      <c r="A132" s="57"/>
      <c r="B132" s="57"/>
      <c r="C132" s="57"/>
      <c r="D132" s="57"/>
      <c r="E132" s="57"/>
      <c r="F132" s="57"/>
      <c r="G132" s="57"/>
    </row>
    <row r="133" spans="1:7" x14ac:dyDescent="0.2">
      <c r="A133" s="57"/>
      <c r="B133" s="57"/>
      <c r="C133" s="57"/>
      <c r="D133" s="57"/>
      <c r="E133" s="57"/>
      <c r="F133" s="57"/>
      <c r="G133" s="57"/>
    </row>
    <row r="134" spans="1:7" x14ac:dyDescent="0.2">
      <c r="A134" s="57"/>
      <c r="B134" s="57"/>
      <c r="C134" s="57"/>
      <c r="D134" s="57"/>
      <c r="E134" s="57"/>
      <c r="F134" s="57"/>
      <c r="G134" s="57"/>
    </row>
    <row r="135" spans="1:7" x14ac:dyDescent="0.2">
      <c r="A135" s="57"/>
      <c r="B135" s="57"/>
      <c r="C135" s="57"/>
      <c r="D135" s="57"/>
      <c r="E135" s="57"/>
      <c r="F135" s="57"/>
      <c r="G135" s="57"/>
    </row>
    <row r="136" spans="1:7" x14ac:dyDescent="0.2">
      <c r="A136" s="57"/>
      <c r="B136" s="57"/>
      <c r="C136" s="57"/>
      <c r="D136" s="57"/>
      <c r="E136" s="57"/>
      <c r="F136" s="57"/>
      <c r="G136" s="57"/>
    </row>
    <row r="137" spans="1:7" x14ac:dyDescent="0.2">
      <c r="A137" s="57"/>
      <c r="B137" s="57"/>
      <c r="C137" s="57"/>
      <c r="D137" s="57"/>
      <c r="E137" s="57"/>
      <c r="F137" s="57"/>
      <c r="G137" s="57"/>
    </row>
    <row r="138" spans="1:7" x14ac:dyDescent="0.2">
      <c r="A138" s="57"/>
      <c r="B138" s="57"/>
      <c r="C138" s="57"/>
      <c r="D138" s="57"/>
      <c r="E138" s="57"/>
      <c r="F138" s="57"/>
      <c r="G138" s="57"/>
    </row>
    <row r="139" spans="1:7" x14ac:dyDescent="0.2">
      <c r="A139" s="57"/>
      <c r="B139" s="57"/>
      <c r="C139" s="57"/>
      <c r="D139" s="57"/>
      <c r="E139" s="57"/>
      <c r="F139" s="57"/>
      <c r="G139" s="57"/>
    </row>
    <row r="140" spans="1:7" x14ac:dyDescent="0.2">
      <c r="A140" s="57"/>
      <c r="B140" s="57"/>
      <c r="C140" s="57"/>
      <c r="D140" s="57"/>
      <c r="E140" s="57"/>
      <c r="F140" s="57"/>
      <c r="G140" s="57"/>
    </row>
    <row r="141" spans="1:7" x14ac:dyDescent="0.2">
      <c r="A141" s="57"/>
      <c r="B141" s="57"/>
      <c r="C141" s="57"/>
      <c r="D141" s="57"/>
      <c r="E141" s="57"/>
      <c r="F141" s="57"/>
      <c r="G141" s="57"/>
    </row>
    <row r="142" spans="1:7" x14ac:dyDescent="0.2">
      <c r="A142" s="57"/>
      <c r="B142" s="57"/>
      <c r="C142" s="57"/>
      <c r="D142" s="57"/>
      <c r="E142" s="57"/>
      <c r="F142" s="57"/>
      <c r="G142" s="57"/>
    </row>
    <row r="143" spans="1:7" x14ac:dyDescent="0.2">
      <c r="A143" s="57"/>
      <c r="B143" s="57"/>
      <c r="C143" s="57"/>
      <c r="D143" s="57"/>
      <c r="E143" s="57"/>
      <c r="F143" s="57"/>
      <c r="G143" s="57"/>
    </row>
    <row r="144" spans="1:7" x14ac:dyDescent="0.2">
      <c r="A144" s="57"/>
      <c r="B144" s="57"/>
      <c r="C144" s="57"/>
      <c r="D144" s="57"/>
      <c r="E144" s="57"/>
      <c r="F144" s="57"/>
      <c r="G144" s="57"/>
    </row>
    <row r="145" spans="1:7" x14ac:dyDescent="0.2">
      <c r="A145" s="57"/>
      <c r="B145" s="57"/>
      <c r="C145" s="57"/>
      <c r="D145" s="57"/>
      <c r="E145" s="57"/>
      <c r="F145" s="57"/>
      <c r="G145" s="57"/>
    </row>
    <row r="146" spans="1:7" x14ac:dyDescent="0.2">
      <c r="A146" s="57"/>
      <c r="B146" s="57"/>
      <c r="C146" s="57"/>
      <c r="D146" s="57"/>
      <c r="E146" s="57"/>
      <c r="F146" s="57"/>
      <c r="G146" s="57"/>
    </row>
    <row r="147" spans="1:7" x14ac:dyDescent="0.2">
      <c r="A147" s="57"/>
      <c r="B147" s="57"/>
      <c r="C147" s="57"/>
      <c r="D147" s="57"/>
      <c r="E147" s="57"/>
      <c r="F147" s="57"/>
      <c r="G147" s="57"/>
    </row>
    <row r="148" spans="1:7" x14ac:dyDescent="0.2">
      <c r="A148" s="57"/>
      <c r="B148" s="57"/>
      <c r="C148" s="57"/>
      <c r="D148" s="57"/>
      <c r="E148" s="57"/>
      <c r="F148" s="57"/>
      <c r="G148" s="57"/>
    </row>
    <row r="149" spans="1:7" x14ac:dyDescent="0.2">
      <c r="A149" s="57"/>
      <c r="B149" s="57"/>
      <c r="C149" s="57"/>
      <c r="D149" s="57"/>
      <c r="E149" s="57"/>
      <c r="F149" s="57"/>
      <c r="G149" s="57"/>
    </row>
    <row r="150" spans="1:7" x14ac:dyDescent="0.2">
      <c r="A150" s="57"/>
      <c r="B150" s="57"/>
      <c r="C150" s="57"/>
      <c r="D150" s="57"/>
      <c r="E150" s="57"/>
      <c r="F150" s="57"/>
      <c r="G150" s="57"/>
    </row>
    <row r="151" spans="1:7" x14ac:dyDescent="0.2">
      <c r="A151" s="57"/>
      <c r="B151" s="57"/>
      <c r="C151" s="57"/>
      <c r="D151" s="57"/>
      <c r="E151" s="57"/>
      <c r="F151" s="57"/>
      <c r="G151" s="57"/>
    </row>
    <row r="152" spans="1:7" x14ac:dyDescent="0.2">
      <c r="A152" s="57"/>
      <c r="B152" s="57"/>
      <c r="C152" s="57"/>
      <c r="D152" s="57"/>
      <c r="E152" s="57"/>
      <c r="F152" s="57"/>
      <c r="G152" s="57"/>
    </row>
    <row r="153" spans="1:7" x14ac:dyDescent="0.2">
      <c r="A153" s="57"/>
      <c r="B153" s="57"/>
      <c r="C153" s="57"/>
      <c r="D153" s="57"/>
      <c r="E153" s="57"/>
      <c r="F153" s="57"/>
      <c r="G153" s="57"/>
    </row>
    <row r="154" spans="1:7" x14ac:dyDescent="0.2">
      <c r="A154" s="57"/>
      <c r="B154" s="57"/>
      <c r="C154" s="57"/>
      <c r="D154" s="57"/>
      <c r="E154" s="57"/>
      <c r="F154" s="57"/>
      <c r="G154" s="57"/>
    </row>
    <row r="155" spans="1:7" x14ac:dyDescent="0.2">
      <c r="A155" s="57"/>
      <c r="B155" s="57"/>
      <c r="C155" s="57"/>
      <c r="D155" s="57"/>
      <c r="E155" s="57"/>
      <c r="F155" s="57"/>
      <c r="G155" s="57"/>
    </row>
    <row r="156" spans="1:7" x14ac:dyDescent="0.2">
      <c r="A156" s="57"/>
      <c r="B156" s="57"/>
      <c r="C156" s="57"/>
      <c r="D156" s="57"/>
      <c r="E156" s="57"/>
      <c r="F156" s="57"/>
      <c r="G156" s="57"/>
    </row>
    <row r="157" spans="1:7" x14ac:dyDescent="0.2">
      <c r="A157" s="57"/>
      <c r="B157" s="57"/>
      <c r="C157" s="57"/>
      <c r="D157" s="57"/>
      <c r="E157" s="57"/>
      <c r="F157" s="57"/>
      <c r="G157" s="57"/>
    </row>
    <row r="158" spans="1:7" x14ac:dyDescent="0.2">
      <c r="A158" s="57"/>
      <c r="B158" s="57"/>
      <c r="C158" s="57"/>
      <c r="D158" s="57"/>
      <c r="E158" s="57"/>
      <c r="F158" s="57"/>
      <c r="G158" s="57"/>
    </row>
    <row r="159" spans="1:7" x14ac:dyDescent="0.2">
      <c r="A159" s="57"/>
      <c r="B159" s="57"/>
      <c r="C159" s="57"/>
      <c r="D159" s="57"/>
      <c r="E159" s="57"/>
      <c r="F159" s="57"/>
      <c r="G159" s="57"/>
    </row>
    <row r="160" spans="1:7" x14ac:dyDescent="0.2">
      <c r="A160" s="57"/>
      <c r="B160" s="57"/>
      <c r="C160" s="57"/>
      <c r="D160" s="57"/>
      <c r="E160" s="57"/>
      <c r="F160" s="57"/>
      <c r="G160" s="57"/>
    </row>
    <row r="161" spans="1:7" x14ac:dyDescent="0.2">
      <c r="A161" s="57"/>
      <c r="B161" s="57"/>
      <c r="C161" s="57"/>
      <c r="D161" s="57"/>
      <c r="E161" s="57"/>
      <c r="F161" s="57"/>
      <c r="G161" s="57"/>
    </row>
    <row r="162" spans="1:7" x14ac:dyDescent="0.2">
      <c r="A162" s="57"/>
      <c r="B162" s="57"/>
      <c r="C162" s="57"/>
      <c r="D162" s="57"/>
      <c r="E162" s="57"/>
      <c r="F162" s="57"/>
      <c r="G162" s="57"/>
    </row>
    <row r="163" spans="1:7" x14ac:dyDescent="0.2">
      <c r="A163" s="57"/>
      <c r="B163" s="57"/>
      <c r="C163" s="57"/>
      <c r="D163" s="57"/>
      <c r="E163" s="57"/>
      <c r="F163" s="57"/>
      <c r="G163" s="57"/>
    </row>
    <row r="164" spans="1:7" x14ac:dyDescent="0.2">
      <c r="A164" s="57"/>
      <c r="B164" s="57"/>
      <c r="C164" s="57"/>
      <c r="D164" s="57"/>
      <c r="E164" s="57"/>
      <c r="F164" s="57"/>
      <c r="G164" s="57"/>
    </row>
    <row r="165" spans="1:7" x14ac:dyDescent="0.2">
      <c r="A165" s="57"/>
      <c r="B165" s="57"/>
      <c r="C165" s="57"/>
      <c r="D165" s="57"/>
      <c r="E165" s="57"/>
      <c r="F165" s="57"/>
      <c r="G165" s="57"/>
    </row>
    <row r="166" spans="1:7" x14ac:dyDescent="0.2">
      <c r="A166" s="57"/>
      <c r="B166" s="57"/>
      <c r="C166" s="57"/>
      <c r="D166" s="57"/>
      <c r="E166" s="57"/>
      <c r="F166" s="57"/>
      <c r="G166" s="57"/>
    </row>
    <row r="167" spans="1:7" x14ac:dyDescent="0.2">
      <c r="A167" s="57"/>
      <c r="B167" s="57"/>
      <c r="C167" s="57"/>
      <c r="D167" s="57"/>
      <c r="E167" s="57"/>
      <c r="F167" s="57"/>
      <c r="G167" s="57"/>
    </row>
    <row r="168" spans="1:7" x14ac:dyDescent="0.2">
      <c r="A168" s="57"/>
      <c r="B168" s="57"/>
      <c r="C168" s="57"/>
      <c r="D168" s="57"/>
      <c r="E168" s="57"/>
      <c r="F168" s="57"/>
      <c r="G168" s="57"/>
    </row>
    <row r="169" spans="1:7" x14ac:dyDescent="0.2">
      <c r="A169" s="57"/>
      <c r="B169" s="57"/>
      <c r="C169" s="57"/>
      <c r="D169" s="57"/>
      <c r="E169" s="57"/>
      <c r="F169" s="57"/>
      <c r="G169" s="57"/>
    </row>
    <row r="170" spans="1:7" x14ac:dyDescent="0.2">
      <c r="A170" s="57"/>
      <c r="B170" s="57"/>
      <c r="C170" s="57"/>
      <c r="D170" s="57"/>
      <c r="E170" s="57"/>
      <c r="F170" s="57"/>
      <c r="G170" s="57"/>
    </row>
    <row r="171" spans="1:7" x14ac:dyDescent="0.2">
      <c r="A171" s="57"/>
      <c r="B171" s="57"/>
      <c r="C171" s="57"/>
      <c r="D171" s="57"/>
      <c r="E171" s="57"/>
      <c r="F171" s="57"/>
      <c r="G171" s="57"/>
    </row>
    <row r="172" spans="1:7" x14ac:dyDescent="0.2">
      <c r="A172" s="57"/>
      <c r="B172" s="57"/>
      <c r="C172" s="57"/>
      <c r="D172" s="57"/>
      <c r="E172" s="57"/>
      <c r="F172" s="57"/>
      <c r="G172" s="57"/>
    </row>
    <row r="173" spans="1:7" x14ac:dyDescent="0.2">
      <c r="A173" s="57"/>
      <c r="B173" s="57"/>
      <c r="C173" s="57"/>
      <c r="D173" s="57"/>
      <c r="E173" s="57"/>
      <c r="F173" s="57"/>
      <c r="G173" s="57"/>
    </row>
    <row r="174" spans="1:7" x14ac:dyDescent="0.2">
      <c r="A174" s="57"/>
      <c r="B174" s="57"/>
      <c r="C174" s="57"/>
      <c r="D174" s="57"/>
      <c r="E174" s="57"/>
      <c r="F174" s="57"/>
      <c r="G174" s="57"/>
    </row>
    <row r="175" spans="1:7" x14ac:dyDescent="0.2">
      <c r="A175" s="57"/>
      <c r="B175" s="57"/>
      <c r="C175" s="57"/>
      <c r="D175" s="57"/>
      <c r="E175" s="57"/>
      <c r="F175" s="57"/>
      <c r="G175" s="57"/>
    </row>
    <row r="176" spans="1:7" x14ac:dyDescent="0.2">
      <c r="A176" s="57"/>
      <c r="B176" s="57"/>
      <c r="C176" s="57"/>
      <c r="D176" s="57"/>
      <c r="E176" s="57"/>
      <c r="F176" s="57"/>
      <c r="G176" s="57"/>
    </row>
    <row r="177" spans="1:7" x14ac:dyDescent="0.2">
      <c r="A177" s="57"/>
      <c r="B177" s="57"/>
      <c r="C177" s="57"/>
      <c r="D177" s="57"/>
      <c r="E177" s="57"/>
      <c r="F177" s="57"/>
      <c r="G177" s="57"/>
    </row>
    <row r="178" spans="1:7" x14ac:dyDescent="0.2">
      <c r="A178" s="57"/>
      <c r="B178" s="57"/>
      <c r="C178" s="57"/>
      <c r="D178" s="57"/>
      <c r="E178" s="57"/>
      <c r="F178" s="57"/>
      <c r="G178" s="57"/>
    </row>
    <row r="179" spans="1:7" x14ac:dyDescent="0.2">
      <c r="A179" s="57"/>
      <c r="B179" s="57"/>
      <c r="C179" s="57"/>
      <c r="D179" s="57"/>
      <c r="E179" s="57"/>
      <c r="F179" s="57"/>
      <c r="G179" s="57"/>
    </row>
    <row r="180" spans="1:7" x14ac:dyDescent="0.2">
      <c r="A180" s="57"/>
      <c r="B180" s="57"/>
      <c r="C180" s="57"/>
      <c r="D180" s="57"/>
      <c r="E180" s="57"/>
      <c r="F180" s="57"/>
      <c r="G180" s="57"/>
    </row>
    <row r="181" spans="1:7" x14ac:dyDescent="0.2">
      <c r="A181" s="57"/>
      <c r="B181" s="57"/>
      <c r="C181" s="57"/>
      <c r="D181" s="57"/>
      <c r="E181" s="57"/>
      <c r="F181" s="57"/>
      <c r="G181" s="57"/>
    </row>
    <row r="182" spans="1:7" x14ac:dyDescent="0.2">
      <c r="A182" s="57"/>
      <c r="B182" s="57"/>
      <c r="C182" s="57"/>
      <c r="D182" s="57"/>
      <c r="E182" s="57"/>
      <c r="F182" s="57"/>
      <c r="G182" s="57"/>
    </row>
    <row r="183" spans="1:7" x14ac:dyDescent="0.2">
      <c r="A183" s="57"/>
      <c r="B183" s="57"/>
      <c r="C183" s="57"/>
      <c r="D183" s="57"/>
      <c r="E183" s="57"/>
      <c r="F183" s="57"/>
      <c r="G183" s="57"/>
    </row>
    <row r="184" spans="1:7" x14ac:dyDescent="0.2">
      <c r="A184" s="57"/>
      <c r="B184" s="57"/>
      <c r="C184" s="57"/>
      <c r="D184" s="57"/>
      <c r="E184" s="57"/>
      <c r="F184" s="57"/>
      <c r="G184" s="57"/>
    </row>
    <row r="185" spans="1:7" x14ac:dyDescent="0.2">
      <c r="A185" s="57"/>
      <c r="B185" s="57"/>
      <c r="C185" s="57"/>
      <c r="D185" s="57"/>
      <c r="E185" s="57"/>
      <c r="F185" s="57"/>
      <c r="G185" s="57"/>
    </row>
    <row r="186" spans="1:7" x14ac:dyDescent="0.2">
      <c r="A186" s="57"/>
      <c r="B186" s="57"/>
      <c r="C186" s="57"/>
      <c r="D186" s="57"/>
      <c r="E186" s="57"/>
      <c r="F186" s="57"/>
      <c r="G186" s="57"/>
    </row>
    <row r="187" spans="1:7" x14ac:dyDescent="0.2">
      <c r="A187" s="57"/>
      <c r="B187" s="57"/>
      <c r="C187" s="57"/>
      <c r="D187" s="57"/>
      <c r="E187" s="57"/>
      <c r="F187" s="57"/>
      <c r="G187" s="57"/>
    </row>
    <row r="188" spans="1:7" x14ac:dyDescent="0.2">
      <c r="A188" s="57"/>
      <c r="B188" s="57"/>
      <c r="C188" s="57"/>
      <c r="D188" s="57"/>
      <c r="E188" s="57"/>
      <c r="F188" s="57"/>
      <c r="G188" s="57"/>
    </row>
    <row r="189" spans="1:7" x14ac:dyDescent="0.2">
      <c r="A189" s="57"/>
      <c r="B189" s="57"/>
      <c r="C189" s="57"/>
      <c r="D189" s="57"/>
      <c r="E189" s="57"/>
      <c r="F189" s="57"/>
      <c r="G189" s="57"/>
    </row>
    <row r="190" spans="1:7" x14ac:dyDescent="0.2">
      <c r="A190" s="57"/>
      <c r="B190" s="57"/>
      <c r="C190" s="57"/>
      <c r="D190" s="57"/>
      <c r="E190" s="57"/>
      <c r="F190" s="57"/>
      <c r="G190" s="57"/>
    </row>
    <row r="191" spans="1:7" x14ac:dyDescent="0.2">
      <c r="A191" s="57"/>
      <c r="B191" s="57"/>
      <c r="C191" s="57"/>
      <c r="D191" s="57"/>
      <c r="E191" s="57"/>
      <c r="F191" s="57"/>
      <c r="G191" s="57"/>
    </row>
    <row r="192" spans="1:7" x14ac:dyDescent="0.2">
      <c r="A192" s="57"/>
      <c r="B192" s="57"/>
      <c r="C192" s="57"/>
      <c r="D192" s="57"/>
      <c r="E192" s="57"/>
      <c r="F192" s="57"/>
      <c r="G192" s="57"/>
    </row>
    <row r="193" spans="1:7" x14ac:dyDescent="0.2">
      <c r="A193" s="57"/>
      <c r="B193" s="57"/>
      <c r="C193" s="57"/>
      <c r="D193" s="57"/>
      <c r="E193" s="57"/>
      <c r="F193" s="57"/>
      <c r="G193" s="57"/>
    </row>
    <row r="194" spans="1:7" x14ac:dyDescent="0.2">
      <c r="A194" s="57"/>
      <c r="B194" s="57"/>
      <c r="C194" s="57"/>
      <c r="D194" s="57"/>
      <c r="E194" s="57"/>
      <c r="F194" s="57"/>
      <c r="G194" s="57"/>
    </row>
    <row r="195" spans="1:7" x14ac:dyDescent="0.2">
      <c r="A195" s="57"/>
      <c r="B195" s="57"/>
      <c r="C195" s="57"/>
      <c r="D195" s="57"/>
      <c r="E195" s="57"/>
      <c r="F195" s="57"/>
      <c r="G195" s="57"/>
    </row>
    <row r="196" spans="1:7" x14ac:dyDescent="0.2">
      <c r="A196" s="57"/>
      <c r="B196" s="57"/>
      <c r="C196" s="57"/>
      <c r="D196" s="57"/>
      <c r="E196" s="57"/>
      <c r="F196" s="57"/>
      <c r="G196" s="57"/>
    </row>
    <row r="197" spans="1:7" x14ac:dyDescent="0.2">
      <c r="A197" s="57"/>
      <c r="B197" s="57"/>
      <c r="C197" s="57"/>
      <c r="D197" s="57"/>
      <c r="E197" s="57"/>
      <c r="F197" s="57"/>
      <c r="G197" s="57"/>
    </row>
    <row r="198" spans="1:7" x14ac:dyDescent="0.2">
      <c r="A198" s="57"/>
      <c r="B198" s="57"/>
      <c r="C198" s="57"/>
      <c r="D198" s="57"/>
      <c r="E198" s="57"/>
      <c r="F198" s="57"/>
      <c r="G198" s="57"/>
    </row>
    <row r="199" spans="1:7" x14ac:dyDescent="0.2">
      <c r="A199" s="57"/>
      <c r="B199" s="57"/>
      <c r="C199" s="57"/>
      <c r="D199" s="57"/>
      <c r="E199" s="57"/>
      <c r="F199" s="57"/>
      <c r="G199" s="57"/>
    </row>
    <row r="200" spans="1:7" x14ac:dyDescent="0.2">
      <c r="A200" s="57"/>
      <c r="B200" s="57"/>
      <c r="C200" s="57"/>
      <c r="D200" s="57"/>
      <c r="E200" s="57"/>
      <c r="F200" s="57"/>
      <c r="G200" s="57"/>
    </row>
    <row r="201" spans="1:7" x14ac:dyDescent="0.2">
      <c r="A201" s="57"/>
      <c r="B201" s="57"/>
      <c r="C201" s="57"/>
      <c r="D201" s="57"/>
      <c r="E201" s="57"/>
      <c r="F201" s="57"/>
      <c r="G201" s="57"/>
    </row>
    <row r="202" spans="1:7" x14ac:dyDescent="0.2">
      <c r="A202" s="57"/>
      <c r="B202" s="57"/>
      <c r="C202" s="57"/>
      <c r="D202" s="57"/>
      <c r="E202" s="57"/>
      <c r="F202" s="57"/>
      <c r="G202" s="57"/>
    </row>
    <row r="203" spans="1:7" x14ac:dyDescent="0.2">
      <c r="A203" s="57"/>
      <c r="B203" s="57"/>
      <c r="C203" s="57"/>
      <c r="D203" s="57"/>
      <c r="E203" s="57"/>
      <c r="F203" s="57"/>
      <c r="G203" s="57"/>
    </row>
    <row r="204" spans="1:7" x14ac:dyDescent="0.2">
      <c r="A204" s="57"/>
      <c r="B204" s="57"/>
      <c r="C204" s="57"/>
      <c r="D204" s="57"/>
      <c r="E204" s="57"/>
      <c r="F204" s="57"/>
      <c r="G204" s="57"/>
    </row>
    <row r="205" spans="1:7" x14ac:dyDescent="0.2">
      <c r="A205" s="57"/>
      <c r="B205" s="57"/>
      <c r="C205" s="57"/>
      <c r="D205" s="57"/>
      <c r="E205" s="57"/>
      <c r="F205" s="57"/>
      <c r="G205" s="57"/>
    </row>
    <row r="206" spans="1:7" x14ac:dyDescent="0.2">
      <c r="A206" s="57"/>
      <c r="B206" s="57"/>
      <c r="C206" s="57"/>
      <c r="D206" s="57"/>
      <c r="E206" s="57"/>
      <c r="F206" s="57"/>
      <c r="G206" s="57"/>
    </row>
    <row r="207" spans="1:7" x14ac:dyDescent="0.2">
      <c r="A207" s="57"/>
      <c r="B207" s="57"/>
      <c r="C207" s="57"/>
      <c r="D207" s="57"/>
      <c r="E207" s="57"/>
      <c r="F207" s="57"/>
      <c r="G207" s="57"/>
    </row>
    <row r="208" spans="1:7" x14ac:dyDescent="0.2">
      <c r="A208" s="57"/>
      <c r="B208" s="57"/>
      <c r="C208" s="57"/>
      <c r="D208" s="57"/>
      <c r="E208" s="57"/>
      <c r="F208" s="57"/>
      <c r="G208" s="57"/>
    </row>
    <row r="209" spans="1:7" x14ac:dyDescent="0.2">
      <c r="A209" s="57"/>
      <c r="B209" s="57"/>
      <c r="C209" s="57"/>
      <c r="D209" s="57"/>
      <c r="E209" s="57"/>
      <c r="F209" s="57"/>
      <c r="G209" s="57"/>
    </row>
    <row r="210" spans="1:7" x14ac:dyDescent="0.2">
      <c r="A210" s="57"/>
      <c r="B210" s="57"/>
      <c r="C210" s="57"/>
      <c r="D210" s="57"/>
      <c r="E210" s="57"/>
      <c r="F210" s="57"/>
      <c r="G210" s="57"/>
    </row>
    <row r="211" spans="1:7" x14ac:dyDescent="0.2">
      <c r="A211" s="57"/>
      <c r="B211" s="57"/>
      <c r="C211" s="57"/>
      <c r="D211" s="57"/>
      <c r="E211" s="57"/>
      <c r="F211" s="57"/>
      <c r="G211" s="57"/>
    </row>
    <row r="212" spans="1:7" x14ac:dyDescent="0.2">
      <c r="A212" s="57"/>
      <c r="B212" s="57"/>
      <c r="C212" s="57"/>
      <c r="D212" s="57"/>
      <c r="E212" s="57"/>
      <c r="F212" s="57"/>
      <c r="G212" s="57"/>
    </row>
    <row r="213" spans="1:7" x14ac:dyDescent="0.2">
      <c r="A213" s="57"/>
      <c r="B213" s="57"/>
      <c r="C213" s="57"/>
      <c r="D213" s="57"/>
      <c r="E213" s="57"/>
      <c r="F213" s="57"/>
      <c r="G213" s="57"/>
    </row>
    <row r="214" spans="1:7" x14ac:dyDescent="0.2">
      <c r="A214" s="57"/>
      <c r="B214" s="57"/>
      <c r="C214" s="57"/>
      <c r="D214" s="57"/>
      <c r="E214" s="57"/>
      <c r="F214" s="57"/>
      <c r="G214" s="57"/>
    </row>
    <row r="215" spans="1:7" x14ac:dyDescent="0.2">
      <c r="A215" s="57"/>
      <c r="B215" s="57"/>
      <c r="C215" s="57"/>
      <c r="D215" s="57"/>
      <c r="E215" s="57"/>
      <c r="F215" s="57"/>
      <c r="G215" s="57"/>
    </row>
    <row r="216" spans="1:7" x14ac:dyDescent="0.2">
      <c r="A216" s="57"/>
      <c r="B216" s="57"/>
      <c r="C216" s="57"/>
      <c r="D216" s="57"/>
      <c r="E216" s="57"/>
      <c r="F216" s="57"/>
      <c r="G216" s="57"/>
    </row>
    <row r="217" spans="1:7" x14ac:dyDescent="0.2">
      <c r="A217" s="57"/>
      <c r="B217" s="57"/>
      <c r="C217" s="57"/>
      <c r="D217" s="57"/>
      <c r="E217" s="57"/>
      <c r="F217" s="57"/>
      <c r="G217" s="57"/>
    </row>
    <row r="218" spans="1:7" x14ac:dyDescent="0.2">
      <c r="A218" s="57"/>
      <c r="B218" s="57"/>
      <c r="C218" s="57"/>
      <c r="D218" s="57"/>
      <c r="E218" s="57"/>
      <c r="F218" s="57"/>
      <c r="G218" s="57"/>
    </row>
    <row r="219" spans="1:7" x14ac:dyDescent="0.2">
      <c r="A219" s="57"/>
      <c r="B219" s="57"/>
      <c r="C219" s="57"/>
      <c r="D219" s="57"/>
      <c r="E219" s="57"/>
      <c r="F219" s="57"/>
      <c r="G219" s="57"/>
    </row>
    <row r="220" spans="1:7" x14ac:dyDescent="0.2">
      <c r="A220" s="57"/>
      <c r="B220" s="57"/>
      <c r="C220" s="57"/>
      <c r="D220" s="57"/>
      <c r="E220" s="57"/>
      <c r="F220" s="57"/>
      <c r="G220" s="57"/>
    </row>
    <row r="221" spans="1:7" x14ac:dyDescent="0.2">
      <c r="A221" s="57"/>
      <c r="B221" s="57"/>
      <c r="C221" s="57"/>
      <c r="D221" s="57"/>
      <c r="E221" s="57"/>
      <c r="F221" s="57"/>
      <c r="G221" s="57"/>
    </row>
    <row r="222" spans="1:7" x14ac:dyDescent="0.2">
      <c r="A222" s="57"/>
      <c r="B222" s="57"/>
      <c r="C222" s="57"/>
      <c r="D222" s="57"/>
      <c r="E222" s="57"/>
      <c r="F222" s="57"/>
      <c r="G222" s="57"/>
    </row>
    <row r="223" spans="1:7" x14ac:dyDescent="0.2">
      <c r="A223" s="57"/>
      <c r="B223" s="57"/>
      <c r="C223" s="57"/>
      <c r="D223" s="57"/>
      <c r="E223" s="57"/>
      <c r="F223" s="57"/>
      <c r="G223" s="57"/>
    </row>
    <row r="224" spans="1:7" x14ac:dyDescent="0.2">
      <c r="A224" s="57"/>
      <c r="B224" s="57"/>
      <c r="C224" s="57"/>
      <c r="D224" s="57"/>
      <c r="E224" s="57"/>
      <c r="F224" s="57"/>
      <c r="G224" s="57"/>
    </row>
    <row r="225" spans="1:7" x14ac:dyDescent="0.2">
      <c r="A225" s="57"/>
      <c r="B225" s="57"/>
      <c r="C225" s="57"/>
      <c r="D225" s="57"/>
      <c r="E225" s="57"/>
      <c r="F225" s="57"/>
      <c r="G225" s="57"/>
    </row>
    <row r="226" spans="1:7" x14ac:dyDescent="0.2">
      <c r="A226" s="57"/>
      <c r="B226" s="57"/>
      <c r="C226" s="57"/>
      <c r="D226" s="57"/>
      <c r="E226" s="57"/>
      <c r="F226" s="57"/>
      <c r="G226" s="57"/>
    </row>
    <row r="227" spans="1:7" x14ac:dyDescent="0.2">
      <c r="A227" s="57"/>
      <c r="B227" s="57"/>
      <c r="C227" s="57"/>
      <c r="D227" s="57"/>
      <c r="E227" s="57"/>
      <c r="F227" s="57"/>
      <c r="G227" s="57"/>
    </row>
    <row r="228" spans="1:7" x14ac:dyDescent="0.2">
      <c r="A228" s="57"/>
      <c r="B228" s="57"/>
      <c r="C228" s="57"/>
      <c r="D228" s="57"/>
      <c r="E228" s="57"/>
      <c r="F228" s="57"/>
      <c r="G228" s="57"/>
    </row>
    <row r="229" spans="1:7" x14ac:dyDescent="0.2">
      <c r="A229" s="57"/>
      <c r="B229" s="57"/>
      <c r="C229" s="57"/>
      <c r="D229" s="57"/>
      <c r="E229" s="57"/>
      <c r="F229" s="57"/>
      <c r="G229" s="57"/>
    </row>
    <row r="230" spans="1:7" x14ac:dyDescent="0.2">
      <c r="A230" s="57"/>
      <c r="B230" s="57"/>
      <c r="C230" s="57"/>
      <c r="D230" s="57"/>
      <c r="E230" s="57"/>
      <c r="F230" s="57"/>
      <c r="G230" s="57"/>
    </row>
    <row r="231" spans="1:7" x14ac:dyDescent="0.2">
      <c r="A231" s="57"/>
      <c r="B231" s="57"/>
      <c r="C231" s="57"/>
      <c r="D231" s="57"/>
      <c r="E231" s="57"/>
      <c r="F231" s="57"/>
      <c r="G231" s="57"/>
    </row>
    <row r="232" spans="1:7" x14ac:dyDescent="0.2">
      <c r="A232" s="57"/>
      <c r="B232" s="57"/>
      <c r="C232" s="57"/>
      <c r="D232" s="57"/>
      <c r="E232" s="57"/>
      <c r="F232" s="57"/>
      <c r="G232" s="57"/>
    </row>
    <row r="233" spans="1:7" x14ac:dyDescent="0.2">
      <c r="A233" s="57"/>
      <c r="B233" s="57"/>
      <c r="C233" s="57"/>
      <c r="D233" s="57"/>
      <c r="E233" s="57"/>
      <c r="F233" s="57"/>
      <c r="G233" s="57"/>
    </row>
    <row r="234" spans="1:7" x14ac:dyDescent="0.2">
      <c r="A234" s="57"/>
      <c r="B234" s="57"/>
      <c r="C234" s="57"/>
      <c r="D234" s="57"/>
      <c r="E234" s="57"/>
      <c r="F234" s="57"/>
      <c r="G234" s="57"/>
    </row>
    <row r="235" spans="1:7" x14ac:dyDescent="0.2">
      <c r="A235" s="57"/>
      <c r="B235" s="57"/>
      <c r="C235" s="57"/>
      <c r="D235" s="57"/>
      <c r="E235" s="57"/>
      <c r="F235" s="57"/>
      <c r="G235" s="57"/>
    </row>
    <row r="236" spans="1:7" x14ac:dyDescent="0.2">
      <c r="A236" s="57"/>
      <c r="B236" s="57"/>
      <c r="C236" s="57"/>
      <c r="D236" s="57"/>
      <c r="E236" s="57"/>
      <c r="F236" s="57"/>
      <c r="G236" s="57"/>
    </row>
    <row r="237" spans="1:7" x14ac:dyDescent="0.2">
      <c r="A237" s="57"/>
      <c r="B237" s="57"/>
      <c r="C237" s="57"/>
      <c r="D237" s="57"/>
      <c r="E237" s="57"/>
      <c r="F237" s="57"/>
      <c r="G237" s="57"/>
    </row>
    <row r="238" spans="1:7" x14ac:dyDescent="0.2">
      <c r="A238" s="57"/>
      <c r="B238" s="57"/>
      <c r="C238" s="57"/>
      <c r="D238" s="57"/>
      <c r="E238" s="57"/>
      <c r="F238" s="57"/>
      <c r="G238" s="57"/>
    </row>
    <row r="239" spans="1:7" x14ac:dyDescent="0.2">
      <c r="A239" s="57"/>
      <c r="B239" s="57"/>
      <c r="C239" s="57"/>
      <c r="D239" s="57"/>
      <c r="E239" s="57"/>
      <c r="F239" s="57"/>
      <c r="G239" s="57"/>
    </row>
    <row r="240" spans="1:7" x14ac:dyDescent="0.2">
      <c r="A240" s="57"/>
      <c r="B240" s="57"/>
      <c r="C240" s="57"/>
      <c r="D240" s="57"/>
      <c r="E240" s="57"/>
      <c r="F240" s="57"/>
      <c r="G240" s="57"/>
    </row>
    <row r="241" spans="1:7" x14ac:dyDescent="0.2">
      <c r="A241" s="57"/>
      <c r="B241" s="57"/>
      <c r="C241" s="57"/>
      <c r="D241" s="57"/>
      <c r="E241" s="57"/>
      <c r="F241" s="57"/>
      <c r="G241" s="57"/>
    </row>
    <row r="242" spans="1:7" x14ac:dyDescent="0.2">
      <c r="A242" s="57"/>
      <c r="B242" s="57"/>
      <c r="C242" s="57"/>
      <c r="D242" s="57"/>
      <c r="E242" s="57"/>
      <c r="F242" s="57"/>
      <c r="G242" s="57"/>
    </row>
    <row r="243" spans="1:7" x14ac:dyDescent="0.2">
      <c r="A243" s="57"/>
      <c r="B243" s="57"/>
      <c r="C243" s="57"/>
      <c r="D243" s="57"/>
      <c r="E243" s="57"/>
      <c r="F243" s="57"/>
      <c r="G243" s="57"/>
    </row>
    <row r="244" spans="1:7" x14ac:dyDescent="0.2">
      <c r="A244" s="57"/>
      <c r="B244" s="57"/>
      <c r="C244" s="57"/>
      <c r="D244" s="57"/>
      <c r="E244" s="57"/>
      <c r="F244" s="57"/>
      <c r="G244" s="57"/>
    </row>
    <row r="245" spans="1:7" x14ac:dyDescent="0.2">
      <c r="A245" s="57"/>
      <c r="B245" s="57"/>
      <c r="C245" s="57"/>
      <c r="D245" s="57"/>
      <c r="E245" s="57"/>
      <c r="F245" s="57"/>
      <c r="G245" s="57"/>
    </row>
    <row r="246" spans="1:7" x14ac:dyDescent="0.2">
      <c r="A246" s="57"/>
      <c r="B246" s="57"/>
      <c r="C246" s="57"/>
      <c r="D246" s="57"/>
      <c r="E246" s="57"/>
      <c r="F246" s="57"/>
      <c r="G246" s="57"/>
    </row>
    <row r="247" spans="1:7" x14ac:dyDescent="0.2">
      <c r="A247" s="57"/>
      <c r="B247" s="57"/>
      <c r="C247" s="57"/>
      <c r="D247" s="57"/>
      <c r="E247" s="57"/>
      <c r="F247" s="57"/>
      <c r="G247" s="57"/>
    </row>
    <row r="248" spans="1:7" x14ac:dyDescent="0.2">
      <c r="A248" s="57"/>
      <c r="B248" s="57"/>
      <c r="C248" s="57"/>
      <c r="D248" s="57"/>
      <c r="E248" s="57"/>
      <c r="F248" s="57"/>
      <c r="G248" s="57"/>
    </row>
    <row r="249" spans="1:7" x14ac:dyDescent="0.2">
      <c r="A249" s="57"/>
      <c r="B249" s="57"/>
      <c r="C249" s="57"/>
      <c r="D249" s="57"/>
      <c r="E249" s="57"/>
      <c r="F249" s="57"/>
      <c r="G249" s="57"/>
    </row>
    <row r="250" spans="1:7" x14ac:dyDescent="0.2">
      <c r="A250" s="57"/>
      <c r="B250" s="57"/>
      <c r="C250" s="57"/>
      <c r="D250" s="57"/>
      <c r="E250" s="57"/>
      <c r="F250" s="57"/>
      <c r="G250" s="57"/>
    </row>
    <row r="251" spans="1:7" x14ac:dyDescent="0.2">
      <c r="A251" s="57"/>
      <c r="B251" s="57"/>
      <c r="C251" s="57"/>
      <c r="D251" s="57"/>
      <c r="E251" s="57"/>
      <c r="F251" s="57"/>
      <c r="G251" s="57"/>
    </row>
    <row r="252" spans="1:7" x14ac:dyDescent="0.2">
      <c r="A252" s="57"/>
      <c r="B252" s="57"/>
      <c r="C252" s="57"/>
      <c r="D252" s="57"/>
      <c r="E252" s="57"/>
      <c r="F252" s="57"/>
      <c r="G252" s="57"/>
    </row>
    <row r="253" spans="1:7" x14ac:dyDescent="0.2">
      <c r="A253" s="57"/>
      <c r="B253" s="57"/>
      <c r="C253" s="57"/>
      <c r="D253" s="57"/>
      <c r="E253" s="57"/>
      <c r="F253" s="57"/>
      <c r="G253" s="57"/>
    </row>
    <row r="254" spans="1:7" x14ac:dyDescent="0.2">
      <c r="A254" s="57"/>
      <c r="B254" s="57"/>
      <c r="C254" s="57"/>
      <c r="D254" s="57"/>
      <c r="E254" s="57"/>
      <c r="F254" s="57"/>
      <c r="G254" s="57"/>
    </row>
    <row r="255" spans="1:7" x14ac:dyDescent="0.2">
      <c r="A255" s="57"/>
      <c r="B255" s="57"/>
      <c r="C255" s="57"/>
      <c r="D255" s="57"/>
      <c r="E255" s="57"/>
      <c r="F255" s="57"/>
      <c r="G255" s="57"/>
    </row>
    <row r="256" spans="1:7" x14ac:dyDescent="0.2">
      <c r="A256" s="57"/>
      <c r="B256" s="57"/>
      <c r="C256" s="57"/>
      <c r="D256" s="57"/>
      <c r="E256" s="57"/>
      <c r="F256" s="57"/>
      <c r="G256" s="57"/>
    </row>
    <row r="257" spans="1:7" x14ac:dyDescent="0.2">
      <c r="A257" s="57"/>
      <c r="B257" s="57"/>
      <c r="C257" s="57"/>
      <c r="D257" s="57"/>
      <c r="E257" s="57"/>
      <c r="F257" s="57"/>
      <c r="G257" s="57"/>
    </row>
    <row r="258" spans="1:7" x14ac:dyDescent="0.2">
      <c r="A258" s="57"/>
      <c r="B258" s="57"/>
      <c r="C258" s="57"/>
      <c r="D258" s="57"/>
      <c r="E258" s="57"/>
      <c r="F258" s="57"/>
      <c r="G258" s="57"/>
    </row>
    <row r="259" spans="1:7" x14ac:dyDescent="0.2">
      <c r="A259" s="57"/>
      <c r="B259" s="57"/>
      <c r="C259" s="57"/>
      <c r="D259" s="57"/>
      <c r="E259" s="57"/>
      <c r="F259" s="57"/>
      <c r="G259" s="57"/>
    </row>
    <row r="260" spans="1:7" x14ac:dyDescent="0.2">
      <c r="A260" s="57"/>
      <c r="B260" s="57"/>
      <c r="C260" s="57"/>
      <c r="D260" s="57"/>
      <c r="E260" s="57"/>
      <c r="F260" s="57"/>
      <c r="G260" s="57"/>
    </row>
    <row r="261" spans="1:7" x14ac:dyDescent="0.2">
      <c r="A261" s="57"/>
      <c r="B261" s="57"/>
      <c r="C261" s="57"/>
      <c r="D261" s="57"/>
      <c r="E261" s="57"/>
      <c r="F261" s="57"/>
      <c r="G261" s="57"/>
    </row>
    <row r="262" spans="1:7" x14ac:dyDescent="0.2">
      <c r="A262" s="57"/>
      <c r="B262" s="57"/>
      <c r="C262" s="57"/>
      <c r="D262" s="57"/>
      <c r="E262" s="57"/>
      <c r="F262" s="57"/>
      <c r="G262" s="57"/>
    </row>
    <row r="263" spans="1:7" x14ac:dyDescent="0.2">
      <c r="A263" s="57"/>
      <c r="B263" s="57"/>
      <c r="C263" s="57"/>
      <c r="D263" s="57"/>
      <c r="E263" s="57"/>
      <c r="F263" s="57"/>
      <c r="G263" s="57"/>
    </row>
    <row r="264" spans="1:7" x14ac:dyDescent="0.2">
      <c r="A264" s="57"/>
      <c r="B264" s="57"/>
      <c r="C264" s="57"/>
      <c r="D264" s="57"/>
      <c r="E264" s="57"/>
      <c r="F264" s="57"/>
      <c r="G264" s="57"/>
    </row>
    <row r="265" spans="1:7" x14ac:dyDescent="0.2">
      <c r="A265" s="57"/>
      <c r="B265" s="57"/>
      <c r="C265" s="57"/>
      <c r="D265" s="57"/>
      <c r="E265" s="57"/>
      <c r="F265" s="57"/>
      <c r="G265" s="57"/>
    </row>
    <row r="266" spans="1:7" x14ac:dyDescent="0.2">
      <c r="A266" s="57"/>
      <c r="B266" s="57"/>
      <c r="C266" s="57"/>
      <c r="D266" s="57"/>
      <c r="E266" s="57"/>
      <c r="F266" s="57"/>
      <c r="G266" s="57"/>
    </row>
    <row r="267" spans="1:7" x14ac:dyDescent="0.2">
      <c r="A267" s="57"/>
      <c r="B267" s="57"/>
      <c r="C267" s="57"/>
      <c r="D267" s="57"/>
      <c r="E267" s="57"/>
      <c r="F267" s="57"/>
      <c r="G267" s="57"/>
    </row>
    <row r="268" spans="1:7" x14ac:dyDescent="0.2">
      <c r="A268" s="57"/>
      <c r="B268" s="57"/>
      <c r="C268" s="57"/>
      <c r="D268" s="57"/>
      <c r="E268" s="57"/>
      <c r="F268" s="57"/>
      <c r="G268" s="57"/>
    </row>
    <row r="269" spans="1:7" x14ac:dyDescent="0.2">
      <c r="A269" s="57"/>
      <c r="B269" s="57"/>
      <c r="C269" s="57"/>
      <c r="D269" s="57"/>
      <c r="E269" s="57"/>
      <c r="F269" s="57"/>
      <c r="G269" s="57"/>
    </row>
    <row r="270" spans="1:7" x14ac:dyDescent="0.2">
      <c r="A270" s="57"/>
      <c r="B270" s="57"/>
      <c r="C270" s="57"/>
      <c r="D270" s="57"/>
      <c r="E270" s="57"/>
      <c r="F270" s="57"/>
      <c r="G270" s="57"/>
    </row>
    <row r="271" spans="1:7" x14ac:dyDescent="0.2">
      <c r="A271" s="57"/>
      <c r="B271" s="57"/>
      <c r="C271" s="57"/>
      <c r="D271" s="57"/>
      <c r="E271" s="57"/>
      <c r="F271" s="57"/>
      <c r="G271" s="57"/>
    </row>
    <row r="272" spans="1:7" x14ac:dyDescent="0.2">
      <c r="A272" s="57"/>
      <c r="B272" s="57"/>
      <c r="C272" s="57"/>
      <c r="D272" s="57"/>
      <c r="E272" s="57"/>
      <c r="F272" s="57"/>
      <c r="G272" s="57"/>
    </row>
    <row r="273" spans="1:7" x14ac:dyDescent="0.2">
      <c r="A273" s="57"/>
      <c r="B273" s="57"/>
      <c r="C273" s="57"/>
      <c r="D273" s="57"/>
      <c r="E273" s="57"/>
      <c r="F273" s="57"/>
      <c r="G273" s="57"/>
    </row>
    <row r="274" spans="1:7" x14ac:dyDescent="0.2">
      <c r="A274" s="57"/>
      <c r="B274" s="57"/>
      <c r="C274" s="57"/>
      <c r="D274" s="57"/>
      <c r="E274" s="57"/>
      <c r="F274" s="57"/>
      <c r="G274" s="57"/>
    </row>
    <row r="275" spans="1:7" x14ac:dyDescent="0.2">
      <c r="A275" s="57"/>
      <c r="B275" s="57"/>
      <c r="C275" s="57"/>
      <c r="D275" s="57"/>
      <c r="E275" s="57"/>
      <c r="F275" s="57"/>
      <c r="G275" s="57"/>
    </row>
    <row r="276" spans="1:7" x14ac:dyDescent="0.2">
      <c r="A276" s="57"/>
      <c r="B276" s="57"/>
      <c r="C276" s="57"/>
      <c r="D276" s="57"/>
      <c r="E276" s="57"/>
      <c r="F276" s="57"/>
      <c r="G276" s="57"/>
    </row>
    <row r="277" spans="1:7" x14ac:dyDescent="0.2">
      <c r="A277" s="57"/>
      <c r="B277" s="57"/>
      <c r="C277" s="57"/>
      <c r="D277" s="57"/>
      <c r="E277" s="57"/>
      <c r="F277" s="57"/>
      <c r="G277" s="57"/>
    </row>
    <row r="278" spans="1:7" x14ac:dyDescent="0.2">
      <c r="A278" s="57"/>
      <c r="B278" s="57"/>
      <c r="C278" s="57"/>
      <c r="D278" s="57"/>
      <c r="E278" s="57"/>
      <c r="F278" s="57"/>
      <c r="G278" s="57"/>
    </row>
    <row r="279" spans="1:7" x14ac:dyDescent="0.2">
      <c r="A279" s="57"/>
      <c r="B279" s="57"/>
      <c r="C279" s="57"/>
      <c r="D279" s="57"/>
      <c r="E279" s="57"/>
      <c r="F279" s="57"/>
      <c r="G279" s="57"/>
    </row>
    <row r="280" spans="1:7" x14ac:dyDescent="0.2">
      <c r="A280" s="57"/>
      <c r="B280" s="57"/>
      <c r="C280" s="57"/>
      <c r="D280" s="57"/>
      <c r="E280" s="57"/>
      <c r="F280" s="57"/>
      <c r="G280" s="57"/>
    </row>
    <row r="281" spans="1:7" x14ac:dyDescent="0.2">
      <c r="A281" s="57"/>
      <c r="B281" s="57"/>
      <c r="C281" s="57"/>
      <c r="D281" s="57"/>
      <c r="E281" s="57"/>
      <c r="F281" s="57"/>
      <c r="G281" s="57"/>
    </row>
    <row r="282" spans="1:7" x14ac:dyDescent="0.2">
      <c r="A282" s="57"/>
      <c r="B282" s="57"/>
      <c r="C282" s="57"/>
      <c r="D282" s="57"/>
      <c r="E282" s="57"/>
      <c r="F282" s="57"/>
      <c r="G282" s="57"/>
    </row>
    <row r="283" spans="1:7" x14ac:dyDescent="0.2">
      <c r="A283" s="57"/>
      <c r="B283" s="57"/>
      <c r="C283" s="57"/>
      <c r="D283" s="57"/>
      <c r="E283" s="57"/>
      <c r="F283" s="57"/>
      <c r="G283" s="57"/>
    </row>
    <row r="284" spans="1:7" x14ac:dyDescent="0.2">
      <c r="A284" s="57"/>
      <c r="B284" s="57"/>
      <c r="C284" s="57"/>
      <c r="D284" s="57"/>
      <c r="E284" s="57"/>
      <c r="F284" s="57"/>
      <c r="G284" s="57"/>
    </row>
    <row r="285" spans="1:7" x14ac:dyDescent="0.2">
      <c r="A285" s="57"/>
      <c r="B285" s="57"/>
      <c r="C285" s="57"/>
      <c r="D285" s="57"/>
      <c r="E285" s="57"/>
      <c r="F285" s="57"/>
      <c r="G285" s="57"/>
    </row>
    <row r="286" spans="1:7" x14ac:dyDescent="0.2">
      <c r="A286" s="57"/>
      <c r="B286" s="57"/>
      <c r="C286" s="57"/>
      <c r="D286" s="57"/>
      <c r="E286" s="57"/>
      <c r="F286" s="57"/>
      <c r="G286" s="57"/>
    </row>
    <row r="287" spans="1:7" x14ac:dyDescent="0.2">
      <c r="A287" s="57"/>
      <c r="B287" s="57"/>
      <c r="C287" s="57"/>
      <c r="D287" s="57"/>
      <c r="E287" s="57"/>
      <c r="F287" s="57"/>
      <c r="G287" s="57"/>
    </row>
    <row r="288" spans="1:7" x14ac:dyDescent="0.2">
      <c r="A288" s="57"/>
      <c r="B288" s="57"/>
      <c r="C288" s="57"/>
      <c r="D288" s="57"/>
      <c r="E288" s="57"/>
      <c r="F288" s="57"/>
      <c r="G288" s="57"/>
    </row>
    <row r="289" spans="1:7" x14ac:dyDescent="0.2">
      <c r="A289" s="57"/>
      <c r="B289" s="57"/>
      <c r="C289" s="57"/>
      <c r="D289" s="57"/>
      <c r="E289" s="57"/>
      <c r="F289" s="57"/>
      <c r="G289" s="57"/>
    </row>
    <row r="290" spans="1:7" x14ac:dyDescent="0.2">
      <c r="A290" s="57"/>
      <c r="B290" s="57"/>
      <c r="C290" s="57"/>
      <c r="D290" s="57"/>
      <c r="E290" s="57"/>
      <c r="F290" s="57"/>
      <c r="G290" s="57"/>
    </row>
    <row r="291" spans="1:7" x14ac:dyDescent="0.2">
      <c r="A291" s="57"/>
      <c r="B291" s="57"/>
      <c r="C291" s="57"/>
      <c r="D291" s="57"/>
      <c r="E291" s="57"/>
      <c r="F291" s="57"/>
      <c r="G291" s="57"/>
    </row>
    <row r="292" spans="1:7" x14ac:dyDescent="0.2">
      <c r="A292" s="57"/>
      <c r="B292" s="57"/>
      <c r="C292" s="57"/>
      <c r="D292" s="57"/>
      <c r="E292" s="57"/>
      <c r="F292" s="57"/>
      <c r="G292" s="57"/>
    </row>
    <row r="293" spans="1:7" x14ac:dyDescent="0.2">
      <c r="A293" s="57"/>
      <c r="B293" s="57"/>
      <c r="C293" s="57"/>
      <c r="D293" s="57"/>
      <c r="E293" s="57"/>
      <c r="F293" s="57"/>
      <c r="G293" s="57"/>
    </row>
    <row r="294" spans="1:7" x14ac:dyDescent="0.2">
      <c r="A294" s="57"/>
      <c r="B294" s="57"/>
      <c r="C294" s="57"/>
      <c r="D294" s="57"/>
      <c r="E294" s="57"/>
      <c r="F294" s="57"/>
      <c r="G294" s="57"/>
    </row>
    <row r="295" spans="1:7" x14ac:dyDescent="0.2">
      <c r="A295" s="57"/>
      <c r="B295" s="57"/>
      <c r="C295" s="57"/>
      <c r="D295" s="57"/>
      <c r="E295" s="57"/>
      <c r="F295" s="57"/>
      <c r="G295" s="57"/>
    </row>
    <row r="296" spans="1:7" x14ac:dyDescent="0.2">
      <c r="A296" s="57"/>
      <c r="B296" s="57"/>
      <c r="C296" s="57"/>
      <c r="D296" s="57"/>
      <c r="E296" s="57"/>
      <c r="F296" s="57"/>
      <c r="G296" s="57"/>
    </row>
    <row r="297" spans="1:7" x14ac:dyDescent="0.2">
      <c r="A297" s="57"/>
      <c r="B297" s="57"/>
      <c r="C297" s="57"/>
      <c r="D297" s="57"/>
      <c r="E297" s="57"/>
      <c r="F297" s="57"/>
      <c r="G297" s="57"/>
    </row>
    <row r="298" spans="1:7" x14ac:dyDescent="0.2">
      <c r="A298" s="57"/>
      <c r="B298" s="57"/>
      <c r="C298" s="57"/>
      <c r="D298" s="57"/>
      <c r="E298" s="57"/>
      <c r="F298" s="57"/>
      <c r="G298" s="57"/>
    </row>
    <row r="299" spans="1:7" x14ac:dyDescent="0.2">
      <c r="A299" s="57"/>
      <c r="B299" s="57"/>
      <c r="C299" s="57"/>
      <c r="D299" s="57"/>
      <c r="E299" s="57"/>
      <c r="F299" s="57"/>
      <c r="G299" s="57"/>
    </row>
    <row r="300" spans="1:7" x14ac:dyDescent="0.2">
      <c r="A300" s="57"/>
      <c r="B300" s="57"/>
      <c r="C300" s="57"/>
      <c r="D300" s="57"/>
      <c r="E300" s="57"/>
      <c r="F300" s="57"/>
      <c r="G300" s="57"/>
    </row>
    <row r="301" spans="1:7" x14ac:dyDescent="0.2">
      <c r="A301" s="57"/>
      <c r="B301" s="57"/>
      <c r="C301" s="57"/>
      <c r="D301" s="57"/>
      <c r="E301" s="57"/>
      <c r="F301" s="57"/>
      <c r="G301" s="57"/>
    </row>
    <row r="302" spans="1:7" x14ac:dyDescent="0.2">
      <c r="A302" s="57"/>
      <c r="B302" s="57"/>
      <c r="C302" s="57"/>
      <c r="D302" s="57"/>
      <c r="E302" s="57"/>
      <c r="F302" s="57"/>
      <c r="G302" s="57"/>
    </row>
    <row r="303" spans="1:7" x14ac:dyDescent="0.2">
      <c r="A303" s="57"/>
      <c r="B303" s="57"/>
      <c r="C303" s="57"/>
      <c r="D303" s="57"/>
      <c r="E303" s="57"/>
      <c r="F303" s="57"/>
      <c r="G303" s="57"/>
    </row>
    <row r="304" spans="1:7" x14ac:dyDescent="0.2">
      <c r="A304" s="57"/>
      <c r="B304" s="57"/>
      <c r="C304" s="57"/>
      <c r="D304" s="57"/>
      <c r="E304" s="57"/>
      <c r="F304" s="57"/>
      <c r="G304" s="57"/>
    </row>
    <row r="305" spans="1:7" x14ac:dyDescent="0.2">
      <c r="A305" s="57"/>
      <c r="B305" s="57"/>
      <c r="C305" s="57"/>
      <c r="D305" s="57"/>
      <c r="E305" s="57"/>
      <c r="F305" s="57"/>
      <c r="G305" s="57"/>
    </row>
    <row r="306" spans="1:7" x14ac:dyDescent="0.2">
      <c r="A306" s="57"/>
      <c r="B306" s="57"/>
      <c r="C306" s="57"/>
      <c r="D306" s="57"/>
      <c r="E306" s="57"/>
      <c r="F306" s="57"/>
      <c r="G306" s="57"/>
    </row>
    <row r="307" spans="1:7" x14ac:dyDescent="0.2">
      <c r="A307" s="57"/>
      <c r="B307" s="57"/>
      <c r="C307" s="57"/>
      <c r="D307" s="57"/>
      <c r="E307" s="57"/>
      <c r="F307" s="57"/>
      <c r="G307" s="57"/>
    </row>
    <row r="308" spans="1:7" x14ac:dyDescent="0.2">
      <c r="A308" s="57"/>
      <c r="B308" s="57"/>
      <c r="C308" s="57"/>
      <c r="D308" s="57"/>
      <c r="E308" s="57"/>
      <c r="F308" s="57"/>
      <c r="G308" s="57"/>
    </row>
    <row r="309" spans="1:7" x14ac:dyDescent="0.2">
      <c r="A309" s="57"/>
      <c r="B309" s="57"/>
      <c r="C309" s="57"/>
      <c r="D309" s="57"/>
      <c r="E309" s="57"/>
      <c r="F309" s="57"/>
      <c r="G309" s="57"/>
    </row>
    <row r="310" spans="1:7" x14ac:dyDescent="0.2">
      <c r="A310" s="57"/>
      <c r="B310" s="57"/>
      <c r="C310" s="57"/>
      <c r="D310" s="57"/>
      <c r="E310" s="57"/>
      <c r="F310" s="57"/>
      <c r="G310" s="57"/>
    </row>
    <row r="311" spans="1:7" x14ac:dyDescent="0.2">
      <c r="A311" s="57"/>
      <c r="B311" s="57"/>
      <c r="C311" s="57"/>
      <c r="D311" s="57"/>
      <c r="E311" s="57"/>
      <c r="F311" s="57"/>
      <c r="G311" s="57"/>
    </row>
    <row r="312" spans="1:7" x14ac:dyDescent="0.2">
      <c r="A312" s="57"/>
      <c r="B312" s="57"/>
      <c r="C312" s="57"/>
      <c r="D312" s="57"/>
      <c r="E312" s="57"/>
      <c r="F312" s="57"/>
      <c r="G312" s="57"/>
    </row>
    <row r="313" spans="1:7" x14ac:dyDescent="0.2">
      <c r="A313" s="57"/>
      <c r="B313" s="57"/>
      <c r="C313" s="57"/>
      <c r="D313" s="57"/>
      <c r="E313" s="57"/>
      <c r="F313" s="57"/>
      <c r="G313" s="57"/>
    </row>
    <row r="314" spans="1:7" x14ac:dyDescent="0.2">
      <c r="A314" s="57"/>
      <c r="B314" s="57"/>
      <c r="C314" s="57"/>
      <c r="D314" s="57"/>
      <c r="E314" s="57"/>
      <c r="F314" s="57"/>
      <c r="G314" s="57"/>
    </row>
    <row r="315" spans="1:7" x14ac:dyDescent="0.2">
      <c r="A315" s="57"/>
      <c r="B315" s="57"/>
      <c r="C315" s="57"/>
      <c r="D315" s="57"/>
      <c r="E315" s="57"/>
      <c r="F315" s="57"/>
      <c r="G315" s="57"/>
    </row>
    <row r="316" spans="1:7" x14ac:dyDescent="0.2">
      <c r="A316" s="57"/>
      <c r="B316" s="57"/>
      <c r="C316" s="57"/>
      <c r="D316" s="57"/>
      <c r="E316" s="57"/>
      <c r="F316" s="57"/>
      <c r="G316" s="57"/>
    </row>
    <row r="317" spans="1:7" x14ac:dyDescent="0.2">
      <c r="A317" s="57"/>
      <c r="B317" s="57"/>
      <c r="C317" s="57"/>
      <c r="D317" s="57"/>
      <c r="E317" s="57"/>
      <c r="F317" s="57"/>
      <c r="G317" s="57"/>
    </row>
    <row r="318" spans="1:7" x14ac:dyDescent="0.2">
      <c r="A318" s="57"/>
      <c r="B318" s="57"/>
      <c r="C318" s="57"/>
      <c r="D318" s="57"/>
      <c r="E318" s="57"/>
      <c r="F318" s="57"/>
      <c r="G318" s="57"/>
    </row>
    <row r="319" spans="1:7" x14ac:dyDescent="0.2">
      <c r="A319" s="57"/>
      <c r="B319" s="57"/>
      <c r="C319" s="57"/>
      <c r="D319" s="57"/>
      <c r="E319" s="57"/>
      <c r="F319" s="57"/>
      <c r="G319" s="57"/>
    </row>
    <row r="320" spans="1:7" x14ac:dyDescent="0.2">
      <c r="A320" s="57"/>
      <c r="B320" s="57"/>
      <c r="C320" s="57"/>
      <c r="D320" s="57"/>
      <c r="E320" s="57"/>
      <c r="F320" s="57"/>
      <c r="G320" s="57"/>
    </row>
    <row r="321" spans="1:7" x14ac:dyDescent="0.2">
      <c r="A321" s="57"/>
      <c r="B321" s="57"/>
      <c r="C321" s="57"/>
      <c r="D321" s="57"/>
      <c r="E321" s="57"/>
      <c r="F321" s="57"/>
      <c r="G321" s="57"/>
    </row>
    <row r="322" spans="1:7" x14ac:dyDescent="0.2">
      <c r="A322" s="57"/>
      <c r="B322" s="57"/>
      <c r="C322" s="57"/>
      <c r="D322" s="57"/>
      <c r="E322" s="57"/>
      <c r="F322" s="57"/>
      <c r="G322" s="57"/>
    </row>
    <row r="323" spans="1:7" x14ac:dyDescent="0.2">
      <c r="A323" s="57"/>
      <c r="B323" s="57"/>
      <c r="C323" s="57"/>
      <c r="D323" s="57"/>
      <c r="E323" s="57"/>
      <c r="F323" s="57"/>
      <c r="G323" s="57"/>
    </row>
    <row r="324" spans="1:7" x14ac:dyDescent="0.2">
      <c r="A324" s="57"/>
      <c r="B324" s="57"/>
      <c r="C324" s="57"/>
      <c r="D324" s="57"/>
      <c r="E324" s="57"/>
      <c r="F324" s="57"/>
      <c r="G324" s="57"/>
    </row>
    <row r="325" spans="1:7" x14ac:dyDescent="0.2">
      <c r="A325" s="57"/>
      <c r="B325" s="57"/>
      <c r="C325" s="57"/>
      <c r="D325" s="57"/>
      <c r="E325" s="57"/>
      <c r="F325" s="57"/>
      <c r="G325" s="57"/>
    </row>
    <row r="326" spans="1:7" x14ac:dyDescent="0.2">
      <c r="A326" s="57"/>
      <c r="B326" s="57"/>
      <c r="C326" s="57"/>
      <c r="D326" s="57"/>
      <c r="E326" s="57"/>
      <c r="F326" s="57"/>
      <c r="G326" s="57"/>
    </row>
    <row r="327" spans="1:7" x14ac:dyDescent="0.2">
      <c r="A327" s="57"/>
      <c r="B327" s="57"/>
      <c r="C327" s="57"/>
      <c r="D327" s="57"/>
      <c r="E327" s="57"/>
      <c r="F327" s="57"/>
      <c r="G327" s="57"/>
    </row>
    <row r="328" spans="1:7" x14ac:dyDescent="0.2">
      <c r="A328" s="57"/>
      <c r="B328" s="57"/>
      <c r="C328" s="57"/>
      <c r="D328" s="57"/>
      <c r="E328" s="57"/>
      <c r="F328" s="57"/>
      <c r="G328" s="57"/>
    </row>
    <row r="329" spans="1:7" x14ac:dyDescent="0.2">
      <c r="A329" s="57"/>
      <c r="B329" s="57"/>
      <c r="C329" s="57"/>
      <c r="D329" s="57"/>
      <c r="E329" s="57"/>
      <c r="F329" s="57"/>
      <c r="G329" s="57"/>
    </row>
    <row r="330" spans="1:7" x14ac:dyDescent="0.2">
      <c r="A330" s="57"/>
      <c r="B330" s="57"/>
      <c r="C330" s="57"/>
      <c r="D330" s="57"/>
      <c r="E330" s="57"/>
      <c r="F330" s="57"/>
      <c r="G330" s="57"/>
    </row>
    <row r="331" spans="1:7" x14ac:dyDescent="0.2">
      <c r="A331" s="57"/>
      <c r="B331" s="57"/>
      <c r="C331" s="57"/>
      <c r="D331" s="57"/>
      <c r="E331" s="57"/>
      <c r="F331" s="57"/>
      <c r="G331" s="57"/>
    </row>
    <row r="332" spans="1:7" x14ac:dyDescent="0.2">
      <c r="A332" s="57"/>
      <c r="B332" s="57"/>
      <c r="C332" s="57"/>
      <c r="D332" s="57"/>
      <c r="E332" s="57"/>
      <c r="F332" s="57"/>
      <c r="G332" s="57"/>
    </row>
    <row r="333" spans="1:7" x14ac:dyDescent="0.2">
      <c r="A333" s="57"/>
      <c r="B333" s="57"/>
      <c r="C333" s="57"/>
      <c r="D333" s="57"/>
      <c r="E333" s="57"/>
      <c r="F333" s="57"/>
      <c r="G333" s="57"/>
    </row>
    <row r="334" spans="1:7" x14ac:dyDescent="0.2">
      <c r="A334" s="57"/>
      <c r="B334" s="57"/>
      <c r="C334" s="57"/>
      <c r="D334" s="57"/>
      <c r="E334" s="57"/>
      <c r="F334" s="57"/>
      <c r="G334" s="57"/>
    </row>
    <row r="335" spans="1:7" x14ac:dyDescent="0.2">
      <c r="A335" s="57"/>
      <c r="B335" s="57"/>
      <c r="C335" s="57"/>
      <c r="D335" s="57"/>
      <c r="E335" s="57"/>
      <c r="F335" s="57"/>
      <c r="G335" s="57"/>
    </row>
    <row r="336" spans="1:7" x14ac:dyDescent="0.2">
      <c r="A336" s="57"/>
      <c r="B336" s="57"/>
      <c r="C336" s="57"/>
      <c r="D336" s="57"/>
      <c r="E336" s="57"/>
      <c r="F336" s="57"/>
      <c r="G336" s="57"/>
    </row>
    <row r="337" spans="1:7" x14ac:dyDescent="0.2">
      <c r="A337" s="57"/>
      <c r="B337" s="57"/>
      <c r="C337" s="57"/>
      <c r="D337" s="57"/>
      <c r="E337" s="57"/>
      <c r="F337" s="57"/>
      <c r="G337" s="57"/>
    </row>
    <row r="338" spans="1:7" x14ac:dyDescent="0.2">
      <c r="A338" s="57"/>
      <c r="B338" s="57"/>
      <c r="C338" s="57"/>
      <c r="D338" s="57"/>
      <c r="E338" s="57"/>
      <c r="F338" s="57"/>
      <c r="G338" s="57"/>
    </row>
    <row r="339" spans="1:7" x14ac:dyDescent="0.2">
      <c r="A339" s="57"/>
      <c r="B339" s="57"/>
      <c r="C339" s="57"/>
      <c r="D339" s="57"/>
      <c r="E339" s="57"/>
      <c r="F339" s="57"/>
      <c r="G339" s="57"/>
    </row>
    <row r="340" spans="1:7" x14ac:dyDescent="0.2">
      <c r="A340" s="57"/>
      <c r="B340" s="57"/>
      <c r="C340" s="57"/>
      <c r="D340" s="57"/>
      <c r="E340" s="57"/>
      <c r="F340" s="57"/>
      <c r="G340" s="57"/>
    </row>
    <row r="341" spans="1:7" x14ac:dyDescent="0.2">
      <c r="A341" s="57"/>
      <c r="B341" s="57"/>
      <c r="C341" s="57"/>
      <c r="D341" s="57"/>
      <c r="E341" s="57"/>
      <c r="F341" s="57"/>
      <c r="G341" s="57"/>
    </row>
    <row r="342" spans="1:7" x14ac:dyDescent="0.2">
      <c r="A342" s="57"/>
      <c r="B342" s="57"/>
      <c r="C342" s="57"/>
      <c r="D342" s="57"/>
      <c r="E342" s="57"/>
      <c r="F342" s="57"/>
      <c r="G342" s="57"/>
    </row>
    <row r="343" spans="1:7" x14ac:dyDescent="0.2">
      <c r="A343" s="57"/>
      <c r="B343" s="57"/>
      <c r="C343" s="57"/>
      <c r="D343" s="57"/>
      <c r="E343" s="57"/>
      <c r="F343" s="57"/>
      <c r="G343" s="57"/>
    </row>
    <row r="344" spans="1:7" x14ac:dyDescent="0.2">
      <c r="A344" s="57"/>
      <c r="B344" s="57"/>
      <c r="C344" s="57"/>
      <c r="D344" s="57"/>
      <c r="E344" s="57"/>
      <c r="F344" s="57"/>
      <c r="G344" s="57"/>
    </row>
    <row r="345" spans="1:7" x14ac:dyDescent="0.2">
      <c r="A345" s="57"/>
      <c r="B345" s="57"/>
      <c r="C345" s="57"/>
      <c r="D345" s="57"/>
      <c r="E345" s="57"/>
      <c r="F345" s="57"/>
      <c r="G345" s="57"/>
    </row>
    <row r="346" spans="1:7" x14ac:dyDescent="0.2">
      <c r="A346" s="57"/>
      <c r="B346" s="57"/>
      <c r="C346" s="57"/>
      <c r="D346" s="57"/>
      <c r="E346" s="57"/>
      <c r="F346" s="57"/>
      <c r="G346" s="57"/>
    </row>
    <row r="347" spans="1:7" x14ac:dyDescent="0.2">
      <c r="A347" s="57"/>
      <c r="B347" s="57"/>
      <c r="C347" s="57"/>
      <c r="D347" s="57"/>
      <c r="E347" s="57"/>
      <c r="F347" s="57"/>
      <c r="G347" s="57"/>
    </row>
    <row r="348" spans="1:7" x14ac:dyDescent="0.2">
      <c r="A348" s="57"/>
      <c r="B348" s="57"/>
      <c r="C348" s="57"/>
      <c r="D348" s="57"/>
      <c r="E348" s="57"/>
      <c r="F348" s="57"/>
      <c r="G348" s="57"/>
    </row>
    <row r="349" spans="1:7" x14ac:dyDescent="0.2">
      <c r="A349" s="57"/>
      <c r="B349" s="57"/>
      <c r="C349" s="57"/>
      <c r="D349" s="57"/>
      <c r="E349" s="57"/>
      <c r="F349" s="57"/>
      <c r="G349" s="57"/>
    </row>
    <row r="350" spans="1:7" x14ac:dyDescent="0.2">
      <c r="A350" s="57"/>
      <c r="B350" s="57"/>
      <c r="C350" s="57"/>
      <c r="D350" s="57"/>
      <c r="E350" s="57"/>
      <c r="F350" s="57"/>
      <c r="G350" s="57"/>
    </row>
    <row r="351" spans="1:7" x14ac:dyDescent="0.2">
      <c r="A351" s="57"/>
      <c r="B351" s="57"/>
      <c r="C351" s="57"/>
      <c r="D351" s="57"/>
      <c r="E351" s="57"/>
      <c r="F351" s="57"/>
      <c r="G351" s="57"/>
    </row>
    <row r="352" spans="1:7" x14ac:dyDescent="0.2">
      <c r="A352" s="57"/>
      <c r="B352" s="57"/>
      <c r="C352" s="57"/>
      <c r="D352" s="57"/>
      <c r="E352" s="57"/>
      <c r="F352" s="57"/>
      <c r="G352" s="57"/>
    </row>
    <row r="353" spans="1:7" x14ac:dyDescent="0.2">
      <c r="A353" s="57"/>
      <c r="B353" s="57"/>
      <c r="C353" s="57"/>
      <c r="D353" s="57"/>
      <c r="E353" s="57"/>
      <c r="F353" s="57"/>
      <c r="G353" s="57"/>
    </row>
    <row r="354" spans="1:7" x14ac:dyDescent="0.2">
      <c r="A354" s="57"/>
      <c r="B354" s="57"/>
      <c r="C354" s="57"/>
      <c r="D354" s="57"/>
      <c r="E354" s="57"/>
      <c r="F354" s="57"/>
      <c r="G354" s="57"/>
    </row>
    <row r="355" spans="1:7" x14ac:dyDescent="0.2">
      <c r="A355" s="57"/>
      <c r="B355" s="57"/>
      <c r="C355" s="57"/>
      <c r="D355" s="57"/>
      <c r="E355" s="57"/>
      <c r="F355" s="57"/>
      <c r="G355" s="57"/>
    </row>
    <row r="356" spans="1:7" x14ac:dyDescent="0.2">
      <c r="A356" s="57"/>
      <c r="B356" s="57"/>
      <c r="C356" s="57"/>
      <c r="D356" s="57"/>
      <c r="E356" s="57"/>
      <c r="F356" s="57"/>
      <c r="G356" s="57"/>
    </row>
    <row r="357" spans="1:7" x14ac:dyDescent="0.2">
      <c r="A357" s="57"/>
      <c r="B357" s="57"/>
      <c r="C357" s="57"/>
      <c r="D357" s="57"/>
      <c r="E357" s="57"/>
      <c r="F357" s="57"/>
      <c r="G357" s="57"/>
    </row>
    <row r="358" spans="1:7" x14ac:dyDescent="0.2">
      <c r="A358" s="57"/>
      <c r="B358" s="57"/>
      <c r="C358" s="57"/>
      <c r="D358" s="57"/>
      <c r="E358" s="57"/>
      <c r="F358" s="57"/>
      <c r="G358" s="57"/>
    </row>
    <row r="359" spans="1:7" x14ac:dyDescent="0.2">
      <c r="A359" s="57"/>
      <c r="B359" s="57"/>
      <c r="C359" s="57"/>
      <c r="D359" s="57"/>
      <c r="E359" s="57"/>
      <c r="F359" s="57"/>
      <c r="G359" s="57"/>
    </row>
    <row r="360" spans="1:7" x14ac:dyDescent="0.2">
      <c r="A360" s="57"/>
      <c r="B360" s="57"/>
      <c r="C360" s="57"/>
      <c r="D360" s="57"/>
      <c r="E360" s="57"/>
      <c r="F360" s="57"/>
      <c r="G360" s="57"/>
    </row>
    <row r="361" spans="1:7" x14ac:dyDescent="0.2">
      <c r="A361" s="57"/>
      <c r="B361" s="57"/>
      <c r="C361" s="57"/>
      <c r="D361" s="57"/>
      <c r="E361" s="57"/>
      <c r="F361" s="57"/>
      <c r="G361" s="57"/>
    </row>
    <row r="362" spans="1:7" x14ac:dyDescent="0.2">
      <c r="A362" s="57"/>
      <c r="B362" s="57"/>
      <c r="C362" s="57"/>
      <c r="D362" s="57"/>
      <c r="E362" s="57"/>
      <c r="F362" s="57"/>
      <c r="G362" s="57"/>
    </row>
    <row r="363" spans="1:7" x14ac:dyDescent="0.2">
      <c r="A363" s="57"/>
      <c r="B363" s="57"/>
      <c r="C363" s="57"/>
      <c r="D363" s="57"/>
      <c r="E363" s="57"/>
      <c r="F363" s="57"/>
      <c r="G363" s="57"/>
    </row>
    <row r="364" spans="1:7" x14ac:dyDescent="0.2">
      <c r="A364" s="57"/>
      <c r="B364" s="57"/>
      <c r="C364" s="57"/>
      <c r="D364" s="57"/>
      <c r="E364" s="57"/>
      <c r="F364" s="57"/>
      <c r="G364" s="57"/>
    </row>
    <row r="365" spans="1:7" x14ac:dyDescent="0.2">
      <c r="A365" s="57"/>
      <c r="B365" s="57"/>
      <c r="C365" s="57"/>
      <c r="D365" s="57"/>
      <c r="E365" s="57"/>
      <c r="F365" s="57"/>
      <c r="G365" s="57"/>
    </row>
    <row r="366" spans="1:7" x14ac:dyDescent="0.2">
      <c r="A366" s="57"/>
      <c r="B366" s="57"/>
      <c r="C366" s="57"/>
      <c r="D366" s="57"/>
      <c r="E366" s="57"/>
      <c r="F366" s="57"/>
      <c r="G366" s="57"/>
    </row>
    <row r="367" spans="1:7" x14ac:dyDescent="0.2">
      <c r="A367" s="57"/>
      <c r="B367" s="57"/>
      <c r="C367" s="57"/>
      <c r="D367" s="57"/>
      <c r="E367" s="57"/>
      <c r="F367" s="57"/>
      <c r="G367" s="57"/>
    </row>
    <row r="368" spans="1:7" x14ac:dyDescent="0.2">
      <c r="A368" s="57"/>
      <c r="B368" s="57"/>
      <c r="C368" s="57"/>
      <c r="D368" s="57"/>
      <c r="E368" s="57"/>
      <c r="F368" s="57"/>
      <c r="G368" s="57"/>
    </row>
    <row r="369" spans="1:7" x14ac:dyDescent="0.2">
      <c r="A369" s="57"/>
      <c r="B369" s="57"/>
      <c r="C369" s="57"/>
      <c r="D369" s="57"/>
      <c r="E369" s="57"/>
      <c r="F369" s="57"/>
      <c r="G369" s="57"/>
    </row>
    <row r="370" spans="1:7" x14ac:dyDescent="0.2">
      <c r="A370" s="57"/>
      <c r="B370" s="57"/>
      <c r="C370" s="57"/>
      <c r="D370" s="57"/>
      <c r="E370" s="57"/>
      <c r="F370" s="57"/>
      <c r="G370" s="57"/>
    </row>
    <row r="371" spans="1:7" x14ac:dyDescent="0.2">
      <c r="A371" s="57"/>
      <c r="B371" s="57"/>
      <c r="C371" s="57"/>
      <c r="D371" s="57"/>
      <c r="E371" s="57"/>
      <c r="F371" s="57"/>
      <c r="G371" s="57"/>
    </row>
    <row r="372" spans="1:7" x14ac:dyDescent="0.2">
      <c r="A372" s="57"/>
      <c r="B372" s="57"/>
      <c r="C372" s="57"/>
      <c r="D372" s="57"/>
      <c r="E372" s="57"/>
      <c r="F372" s="57"/>
      <c r="G372" s="57"/>
    </row>
    <row r="373" spans="1:7" x14ac:dyDescent="0.2">
      <c r="A373" s="57"/>
      <c r="B373" s="57"/>
      <c r="C373" s="57"/>
      <c r="D373" s="57"/>
      <c r="E373" s="57"/>
      <c r="F373" s="57"/>
      <c r="G373" s="57"/>
    </row>
    <row r="374" spans="1:7" x14ac:dyDescent="0.2">
      <c r="A374" s="57"/>
      <c r="B374" s="57"/>
      <c r="C374" s="57"/>
      <c r="D374" s="57"/>
      <c r="E374" s="57"/>
      <c r="F374" s="57"/>
      <c r="G374" s="57"/>
    </row>
    <row r="375" spans="1:7" x14ac:dyDescent="0.2">
      <c r="A375" s="57"/>
      <c r="B375" s="57"/>
      <c r="C375" s="57"/>
      <c r="D375" s="57"/>
      <c r="E375" s="57"/>
      <c r="F375" s="57"/>
      <c r="G375" s="57"/>
    </row>
    <row r="376" spans="1:7" x14ac:dyDescent="0.2">
      <c r="A376" s="57"/>
      <c r="B376" s="57"/>
      <c r="C376" s="57"/>
      <c r="D376" s="57"/>
      <c r="E376" s="57"/>
      <c r="F376" s="57"/>
      <c r="G376" s="57"/>
    </row>
    <row r="377" spans="1:7" x14ac:dyDescent="0.2">
      <c r="A377" s="57"/>
      <c r="B377" s="57"/>
      <c r="C377" s="57"/>
      <c r="D377" s="57"/>
      <c r="E377" s="57"/>
      <c r="F377" s="57"/>
      <c r="G377" s="57"/>
    </row>
    <row r="378" spans="1:7" x14ac:dyDescent="0.2">
      <c r="A378" s="57"/>
      <c r="B378" s="57"/>
      <c r="C378" s="57"/>
      <c r="D378" s="57"/>
      <c r="E378" s="57"/>
      <c r="F378" s="57"/>
      <c r="G378" s="57"/>
    </row>
    <row r="379" spans="1:7" x14ac:dyDescent="0.2">
      <c r="A379" s="57"/>
      <c r="B379" s="57"/>
      <c r="C379" s="57"/>
      <c r="D379" s="57"/>
      <c r="E379" s="57"/>
      <c r="F379" s="57"/>
      <c r="G379" s="57"/>
    </row>
    <row r="380" spans="1:7" x14ac:dyDescent="0.2">
      <c r="A380" s="57"/>
      <c r="B380" s="57"/>
      <c r="C380" s="57"/>
      <c r="D380" s="57"/>
      <c r="E380" s="57"/>
      <c r="F380" s="57"/>
      <c r="G380" s="57"/>
    </row>
    <row r="381" spans="1:7" x14ac:dyDescent="0.2">
      <c r="A381" s="57"/>
      <c r="B381" s="57"/>
      <c r="C381" s="57"/>
      <c r="D381" s="57"/>
      <c r="E381" s="57"/>
      <c r="F381" s="57"/>
      <c r="G381" s="57"/>
    </row>
    <row r="382" spans="1:7" x14ac:dyDescent="0.2">
      <c r="A382" s="57"/>
      <c r="B382" s="57"/>
      <c r="C382" s="57"/>
      <c r="D382" s="57"/>
      <c r="E382" s="57"/>
      <c r="F382" s="57"/>
      <c r="G382" s="57"/>
    </row>
    <row r="383" spans="1:7" x14ac:dyDescent="0.2">
      <c r="A383" s="57"/>
      <c r="B383" s="57"/>
      <c r="C383" s="57"/>
      <c r="D383" s="57"/>
      <c r="E383" s="57"/>
      <c r="F383" s="57"/>
      <c r="G383" s="57"/>
    </row>
    <row r="384" spans="1:7" x14ac:dyDescent="0.2">
      <c r="A384" s="57"/>
      <c r="B384" s="57"/>
      <c r="C384" s="57"/>
      <c r="D384" s="57"/>
      <c r="E384" s="57"/>
      <c r="F384" s="57"/>
      <c r="G384" s="57"/>
    </row>
    <row r="385" spans="1:7" x14ac:dyDescent="0.2">
      <c r="A385" s="57"/>
      <c r="B385" s="57"/>
      <c r="C385" s="57"/>
      <c r="D385" s="57"/>
      <c r="E385" s="57"/>
      <c r="F385" s="57"/>
      <c r="G385" s="57"/>
    </row>
    <row r="386" spans="1:7" x14ac:dyDescent="0.2">
      <c r="A386" s="57"/>
      <c r="B386" s="57"/>
      <c r="C386" s="57"/>
      <c r="D386" s="57"/>
      <c r="E386" s="57"/>
      <c r="F386" s="57"/>
      <c r="G386" s="57"/>
    </row>
    <row r="387" spans="1:7" x14ac:dyDescent="0.2">
      <c r="A387" s="57"/>
      <c r="B387" s="57"/>
      <c r="C387" s="57"/>
      <c r="D387" s="57"/>
      <c r="E387" s="57"/>
      <c r="F387" s="57"/>
      <c r="G387" s="57"/>
    </row>
    <row r="388" spans="1:7" x14ac:dyDescent="0.2">
      <c r="A388" s="57"/>
      <c r="B388" s="57"/>
      <c r="C388" s="57"/>
      <c r="D388" s="57"/>
      <c r="E388" s="57"/>
      <c r="F388" s="57"/>
      <c r="G388" s="57"/>
    </row>
    <row r="389" spans="1:7" x14ac:dyDescent="0.2">
      <c r="A389" s="57"/>
      <c r="B389" s="57"/>
      <c r="C389" s="57"/>
      <c r="D389" s="57"/>
      <c r="E389" s="57"/>
      <c r="F389" s="57"/>
      <c r="G389" s="57"/>
    </row>
    <row r="390" spans="1:7" x14ac:dyDescent="0.2">
      <c r="A390" s="57"/>
      <c r="B390" s="57"/>
      <c r="C390" s="57"/>
      <c r="D390" s="57"/>
      <c r="E390" s="57"/>
      <c r="F390" s="57"/>
      <c r="G390" s="57"/>
    </row>
    <row r="391" spans="1:7" x14ac:dyDescent="0.2">
      <c r="A391" s="57"/>
      <c r="B391" s="57"/>
      <c r="C391" s="57"/>
      <c r="D391" s="57"/>
      <c r="E391" s="57"/>
      <c r="F391" s="57"/>
      <c r="G391" s="57"/>
    </row>
    <row r="392" spans="1:7" x14ac:dyDescent="0.2">
      <c r="A392" s="57"/>
      <c r="B392" s="57"/>
      <c r="C392" s="57"/>
      <c r="D392" s="57"/>
      <c r="E392" s="57"/>
      <c r="F392" s="57"/>
      <c r="G392" s="57"/>
    </row>
    <row r="393" spans="1:7" x14ac:dyDescent="0.2">
      <c r="A393" s="57"/>
      <c r="B393" s="57"/>
      <c r="C393" s="57"/>
      <c r="D393" s="57"/>
      <c r="E393" s="57"/>
      <c r="F393" s="57"/>
      <c r="G393" s="57"/>
    </row>
    <row r="394" spans="1:7" x14ac:dyDescent="0.2">
      <c r="A394" s="57"/>
      <c r="B394" s="57"/>
      <c r="C394" s="57"/>
      <c r="D394" s="57"/>
      <c r="E394" s="57"/>
      <c r="F394" s="57"/>
      <c r="G394" s="57"/>
    </row>
    <row r="395" spans="1:7" x14ac:dyDescent="0.2">
      <c r="A395" s="57"/>
      <c r="B395" s="57"/>
      <c r="C395" s="57"/>
      <c r="D395" s="57"/>
      <c r="E395" s="57"/>
      <c r="F395" s="57"/>
      <c r="G395" s="57"/>
    </row>
    <row r="396" spans="1:7" x14ac:dyDescent="0.2">
      <c r="A396" s="57"/>
      <c r="B396" s="57"/>
      <c r="C396" s="57"/>
      <c r="D396" s="57"/>
      <c r="E396" s="57"/>
      <c r="F396" s="57"/>
      <c r="G396" s="57"/>
    </row>
    <row r="397" spans="1:7" x14ac:dyDescent="0.2">
      <c r="A397" s="57"/>
      <c r="B397" s="57"/>
      <c r="C397" s="57"/>
      <c r="D397" s="57"/>
      <c r="E397" s="57"/>
      <c r="F397" s="57"/>
      <c r="G397" s="57"/>
    </row>
    <row r="398" spans="1:7" x14ac:dyDescent="0.2">
      <c r="A398" s="57"/>
      <c r="B398" s="57"/>
      <c r="C398" s="57"/>
      <c r="D398" s="57"/>
      <c r="E398" s="57"/>
      <c r="F398" s="57"/>
      <c r="G398" s="57"/>
    </row>
    <row r="399" spans="1:7" x14ac:dyDescent="0.2">
      <c r="A399" s="57"/>
      <c r="B399" s="57"/>
      <c r="C399" s="57"/>
      <c r="D399" s="57"/>
      <c r="E399" s="57"/>
      <c r="F399" s="57"/>
      <c r="G399" s="57"/>
    </row>
    <row r="400" spans="1:7" x14ac:dyDescent="0.2">
      <c r="A400" s="57"/>
      <c r="B400" s="57"/>
      <c r="C400" s="57"/>
      <c r="D400" s="57"/>
      <c r="E400" s="57"/>
      <c r="F400" s="57"/>
      <c r="G400" s="57"/>
    </row>
  </sheetData>
  <sheetProtection algorithmName="SHA-512" hashValue="be2gmH4tJ84yLdaXOSW0M0ZdilqpCjd8sdIBqMHCucm2D1WlYS7EGqR4sqzablA86kR9jJCnWHB/wHicPkqN5w==" saltValue="AiP/lxU2AZB58CjOANei5w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B19">
      <selection activeCell="E34" sqref="E34"/>
      <pageMargins left="0.23622047244094491" right="0.23622047244094491" top="0.74803149606299213" bottom="0.74803149606299213" header="0.31496062992125984" footer="0.31496062992125984"/>
      <pageSetup paperSize="9" scale="65" orientation="portrait" r:id="rId1"/>
    </customSheetView>
  </customSheetViews>
  <mergeCells count="2">
    <mergeCell ref="B28:C28"/>
    <mergeCell ref="A7:G8"/>
  </mergeCells>
  <pageMargins left="0.23622047244094491" right="0.23622047244094491" top="0.74803149606299213" bottom="0.74803149606299213" header="0.31496062992125984" footer="0.31496062992125984"/>
  <pageSetup paperSize="9" scale="65" orientation="portrait" r:id="rId2"/>
  <ignoredErrors>
    <ignoredError sqref="E1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topLeftCell="A7" workbookViewId="0">
      <selection activeCell="A10" sqref="A10"/>
    </sheetView>
  </sheetViews>
  <sheetFormatPr defaultRowHeight="12.75" x14ac:dyDescent="0.2"/>
  <cols>
    <col min="1" max="1" width="19.42578125" customWidth="1"/>
    <col min="2" max="2" width="37.28515625" customWidth="1"/>
    <col min="3" max="3" width="39.28515625" customWidth="1"/>
    <col min="4" max="4" width="10.42578125" customWidth="1"/>
    <col min="5" max="5" width="20.85546875" customWidth="1"/>
    <col min="6" max="6" width="17.140625" customWidth="1"/>
    <col min="7" max="7" width="15.7109375" customWidth="1"/>
    <col min="8" max="8" width="2.7109375" hidden="1" customWidth="1"/>
    <col min="9" max="9" width="10.85546875" hidden="1" customWidth="1"/>
    <col min="10" max="10" width="8.5703125" customWidth="1"/>
    <col min="11" max="11" width="6.5703125" customWidth="1"/>
    <col min="12" max="12" width="8.85546875" customWidth="1"/>
    <col min="13" max="13" width="7.5703125" customWidth="1"/>
    <col min="14" max="14" width="7.42578125" customWidth="1"/>
    <col min="15" max="15" width="5.5703125" customWidth="1"/>
    <col min="257" max="257" width="10.5703125" customWidth="1"/>
    <col min="258" max="258" width="26.7109375" customWidth="1"/>
    <col min="259" max="259" width="37" customWidth="1"/>
    <col min="261" max="261" width="21.85546875" customWidth="1"/>
    <col min="262" max="262" width="17.42578125" customWidth="1"/>
    <col min="263" max="263" width="10" customWidth="1"/>
    <col min="265" max="265" width="11.85546875" customWidth="1"/>
    <col min="513" max="513" width="10.5703125" customWidth="1"/>
    <col min="514" max="514" width="26.7109375" customWidth="1"/>
    <col min="515" max="515" width="37" customWidth="1"/>
    <col min="517" max="517" width="21.85546875" customWidth="1"/>
    <col min="518" max="518" width="17.42578125" customWidth="1"/>
    <col min="519" max="519" width="10" customWidth="1"/>
    <col min="521" max="521" width="11.85546875" customWidth="1"/>
    <col min="769" max="769" width="10.5703125" customWidth="1"/>
    <col min="770" max="770" width="26.7109375" customWidth="1"/>
    <col min="771" max="771" width="37" customWidth="1"/>
    <col min="773" max="773" width="21.85546875" customWidth="1"/>
    <col min="774" max="774" width="17.42578125" customWidth="1"/>
    <col min="775" max="775" width="10" customWidth="1"/>
    <col min="777" max="777" width="11.85546875" customWidth="1"/>
    <col min="1025" max="1025" width="10.5703125" customWidth="1"/>
    <col min="1026" max="1026" width="26.7109375" customWidth="1"/>
    <col min="1027" max="1027" width="37" customWidth="1"/>
    <col min="1029" max="1029" width="21.85546875" customWidth="1"/>
    <col min="1030" max="1030" width="17.42578125" customWidth="1"/>
    <col min="1031" max="1031" width="10" customWidth="1"/>
    <col min="1033" max="1033" width="11.85546875" customWidth="1"/>
    <col min="1281" max="1281" width="10.5703125" customWidth="1"/>
    <col min="1282" max="1282" width="26.7109375" customWidth="1"/>
    <col min="1283" max="1283" width="37" customWidth="1"/>
    <col min="1285" max="1285" width="21.85546875" customWidth="1"/>
    <col min="1286" max="1286" width="17.42578125" customWidth="1"/>
    <col min="1287" max="1287" width="10" customWidth="1"/>
    <col min="1289" max="1289" width="11.85546875" customWidth="1"/>
    <col min="1537" max="1537" width="10.5703125" customWidth="1"/>
    <col min="1538" max="1538" width="26.7109375" customWidth="1"/>
    <col min="1539" max="1539" width="37" customWidth="1"/>
    <col min="1541" max="1541" width="21.85546875" customWidth="1"/>
    <col min="1542" max="1542" width="17.42578125" customWidth="1"/>
    <col min="1543" max="1543" width="10" customWidth="1"/>
    <col min="1545" max="1545" width="11.85546875" customWidth="1"/>
    <col min="1793" max="1793" width="10.5703125" customWidth="1"/>
    <col min="1794" max="1794" width="26.7109375" customWidth="1"/>
    <col min="1795" max="1795" width="37" customWidth="1"/>
    <col min="1797" max="1797" width="21.85546875" customWidth="1"/>
    <col min="1798" max="1798" width="17.42578125" customWidth="1"/>
    <col min="1799" max="1799" width="10" customWidth="1"/>
    <col min="1801" max="1801" width="11.85546875" customWidth="1"/>
    <col min="2049" max="2049" width="10.5703125" customWidth="1"/>
    <col min="2050" max="2050" width="26.7109375" customWidth="1"/>
    <col min="2051" max="2051" width="37" customWidth="1"/>
    <col min="2053" max="2053" width="21.85546875" customWidth="1"/>
    <col min="2054" max="2054" width="17.42578125" customWidth="1"/>
    <col min="2055" max="2055" width="10" customWidth="1"/>
    <col min="2057" max="2057" width="11.85546875" customWidth="1"/>
    <col min="2305" max="2305" width="10.5703125" customWidth="1"/>
    <col min="2306" max="2306" width="26.7109375" customWidth="1"/>
    <col min="2307" max="2307" width="37" customWidth="1"/>
    <col min="2309" max="2309" width="21.85546875" customWidth="1"/>
    <col min="2310" max="2310" width="17.42578125" customWidth="1"/>
    <col min="2311" max="2311" width="10" customWidth="1"/>
    <col min="2313" max="2313" width="11.85546875" customWidth="1"/>
    <col min="2561" max="2561" width="10.5703125" customWidth="1"/>
    <col min="2562" max="2562" width="26.7109375" customWidth="1"/>
    <col min="2563" max="2563" width="37" customWidth="1"/>
    <col min="2565" max="2565" width="21.85546875" customWidth="1"/>
    <col min="2566" max="2566" width="17.42578125" customWidth="1"/>
    <col min="2567" max="2567" width="10" customWidth="1"/>
    <col min="2569" max="2569" width="11.85546875" customWidth="1"/>
    <col min="2817" max="2817" width="10.5703125" customWidth="1"/>
    <col min="2818" max="2818" width="26.7109375" customWidth="1"/>
    <col min="2819" max="2819" width="37" customWidth="1"/>
    <col min="2821" max="2821" width="21.85546875" customWidth="1"/>
    <col min="2822" max="2822" width="17.42578125" customWidth="1"/>
    <col min="2823" max="2823" width="10" customWidth="1"/>
    <col min="2825" max="2825" width="11.85546875" customWidth="1"/>
    <col min="3073" max="3073" width="10.5703125" customWidth="1"/>
    <col min="3074" max="3074" width="26.7109375" customWidth="1"/>
    <col min="3075" max="3075" width="37" customWidth="1"/>
    <col min="3077" max="3077" width="21.85546875" customWidth="1"/>
    <col min="3078" max="3078" width="17.42578125" customWidth="1"/>
    <col min="3079" max="3079" width="10" customWidth="1"/>
    <col min="3081" max="3081" width="11.85546875" customWidth="1"/>
    <col min="3329" max="3329" width="10.5703125" customWidth="1"/>
    <col min="3330" max="3330" width="26.7109375" customWidth="1"/>
    <col min="3331" max="3331" width="37" customWidth="1"/>
    <col min="3333" max="3333" width="21.85546875" customWidth="1"/>
    <col min="3334" max="3334" width="17.42578125" customWidth="1"/>
    <col min="3335" max="3335" width="10" customWidth="1"/>
    <col min="3337" max="3337" width="11.85546875" customWidth="1"/>
    <col min="3585" max="3585" width="10.5703125" customWidth="1"/>
    <col min="3586" max="3586" width="26.7109375" customWidth="1"/>
    <col min="3587" max="3587" width="37" customWidth="1"/>
    <col min="3589" max="3589" width="21.85546875" customWidth="1"/>
    <col min="3590" max="3590" width="17.42578125" customWidth="1"/>
    <col min="3591" max="3591" width="10" customWidth="1"/>
    <col min="3593" max="3593" width="11.85546875" customWidth="1"/>
    <col min="3841" max="3841" width="10.5703125" customWidth="1"/>
    <col min="3842" max="3842" width="26.7109375" customWidth="1"/>
    <col min="3843" max="3843" width="37" customWidth="1"/>
    <col min="3845" max="3845" width="21.85546875" customWidth="1"/>
    <col min="3846" max="3846" width="17.42578125" customWidth="1"/>
    <col min="3847" max="3847" width="10" customWidth="1"/>
    <col min="3849" max="3849" width="11.85546875" customWidth="1"/>
    <col min="4097" max="4097" width="10.5703125" customWidth="1"/>
    <col min="4098" max="4098" width="26.7109375" customWidth="1"/>
    <col min="4099" max="4099" width="37" customWidth="1"/>
    <col min="4101" max="4101" width="21.85546875" customWidth="1"/>
    <col min="4102" max="4102" width="17.42578125" customWidth="1"/>
    <col min="4103" max="4103" width="10" customWidth="1"/>
    <col min="4105" max="4105" width="11.85546875" customWidth="1"/>
    <col min="4353" max="4353" width="10.5703125" customWidth="1"/>
    <col min="4354" max="4354" width="26.7109375" customWidth="1"/>
    <col min="4355" max="4355" width="37" customWidth="1"/>
    <col min="4357" max="4357" width="21.85546875" customWidth="1"/>
    <col min="4358" max="4358" width="17.42578125" customWidth="1"/>
    <col min="4359" max="4359" width="10" customWidth="1"/>
    <col min="4361" max="4361" width="11.85546875" customWidth="1"/>
    <col min="4609" max="4609" width="10.5703125" customWidth="1"/>
    <col min="4610" max="4610" width="26.7109375" customWidth="1"/>
    <col min="4611" max="4611" width="37" customWidth="1"/>
    <col min="4613" max="4613" width="21.85546875" customWidth="1"/>
    <col min="4614" max="4614" width="17.42578125" customWidth="1"/>
    <col min="4615" max="4615" width="10" customWidth="1"/>
    <col min="4617" max="4617" width="11.85546875" customWidth="1"/>
    <col min="4865" max="4865" width="10.5703125" customWidth="1"/>
    <col min="4866" max="4866" width="26.7109375" customWidth="1"/>
    <col min="4867" max="4867" width="37" customWidth="1"/>
    <col min="4869" max="4869" width="21.85546875" customWidth="1"/>
    <col min="4870" max="4870" width="17.42578125" customWidth="1"/>
    <col min="4871" max="4871" width="10" customWidth="1"/>
    <col min="4873" max="4873" width="11.85546875" customWidth="1"/>
    <col min="5121" max="5121" width="10.5703125" customWidth="1"/>
    <col min="5122" max="5122" width="26.7109375" customWidth="1"/>
    <col min="5123" max="5123" width="37" customWidth="1"/>
    <col min="5125" max="5125" width="21.85546875" customWidth="1"/>
    <col min="5126" max="5126" width="17.42578125" customWidth="1"/>
    <col min="5127" max="5127" width="10" customWidth="1"/>
    <col min="5129" max="5129" width="11.85546875" customWidth="1"/>
    <col min="5377" max="5377" width="10.5703125" customWidth="1"/>
    <col min="5378" max="5378" width="26.7109375" customWidth="1"/>
    <col min="5379" max="5379" width="37" customWidth="1"/>
    <col min="5381" max="5381" width="21.85546875" customWidth="1"/>
    <col min="5382" max="5382" width="17.42578125" customWidth="1"/>
    <col min="5383" max="5383" width="10" customWidth="1"/>
    <col min="5385" max="5385" width="11.85546875" customWidth="1"/>
    <col min="5633" max="5633" width="10.5703125" customWidth="1"/>
    <col min="5634" max="5634" width="26.7109375" customWidth="1"/>
    <col min="5635" max="5635" width="37" customWidth="1"/>
    <col min="5637" max="5637" width="21.85546875" customWidth="1"/>
    <col min="5638" max="5638" width="17.42578125" customWidth="1"/>
    <col min="5639" max="5639" width="10" customWidth="1"/>
    <col min="5641" max="5641" width="11.85546875" customWidth="1"/>
    <col min="5889" max="5889" width="10.5703125" customWidth="1"/>
    <col min="5890" max="5890" width="26.7109375" customWidth="1"/>
    <col min="5891" max="5891" width="37" customWidth="1"/>
    <col min="5893" max="5893" width="21.85546875" customWidth="1"/>
    <col min="5894" max="5894" width="17.42578125" customWidth="1"/>
    <col min="5895" max="5895" width="10" customWidth="1"/>
    <col min="5897" max="5897" width="11.85546875" customWidth="1"/>
    <col min="6145" max="6145" width="10.5703125" customWidth="1"/>
    <col min="6146" max="6146" width="26.7109375" customWidth="1"/>
    <col min="6147" max="6147" width="37" customWidth="1"/>
    <col min="6149" max="6149" width="21.85546875" customWidth="1"/>
    <col min="6150" max="6150" width="17.42578125" customWidth="1"/>
    <col min="6151" max="6151" width="10" customWidth="1"/>
    <col min="6153" max="6153" width="11.85546875" customWidth="1"/>
    <col min="6401" max="6401" width="10.5703125" customWidth="1"/>
    <col min="6402" max="6402" width="26.7109375" customWidth="1"/>
    <col min="6403" max="6403" width="37" customWidth="1"/>
    <col min="6405" max="6405" width="21.85546875" customWidth="1"/>
    <col min="6406" max="6406" width="17.42578125" customWidth="1"/>
    <col min="6407" max="6407" width="10" customWidth="1"/>
    <col min="6409" max="6409" width="11.85546875" customWidth="1"/>
    <col min="6657" max="6657" width="10.5703125" customWidth="1"/>
    <col min="6658" max="6658" width="26.7109375" customWidth="1"/>
    <col min="6659" max="6659" width="37" customWidth="1"/>
    <col min="6661" max="6661" width="21.85546875" customWidth="1"/>
    <col min="6662" max="6662" width="17.42578125" customWidth="1"/>
    <col min="6663" max="6663" width="10" customWidth="1"/>
    <col min="6665" max="6665" width="11.85546875" customWidth="1"/>
    <col min="6913" max="6913" width="10.5703125" customWidth="1"/>
    <col min="6914" max="6914" width="26.7109375" customWidth="1"/>
    <col min="6915" max="6915" width="37" customWidth="1"/>
    <col min="6917" max="6917" width="21.85546875" customWidth="1"/>
    <col min="6918" max="6918" width="17.42578125" customWidth="1"/>
    <col min="6919" max="6919" width="10" customWidth="1"/>
    <col min="6921" max="6921" width="11.85546875" customWidth="1"/>
    <col min="7169" max="7169" width="10.5703125" customWidth="1"/>
    <col min="7170" max="7170" width="26.7109375" customWidth="1"/>
    <col min="7171" max="7171" width="37" customWidth="1"/>
    <col min="7173" max="7173" width="21.85546875" customWidth="1"/>
    <col min="7174" max="7174" width="17.42578125" customWidth="1"/>
    <col min="7175" max="7175" width="10" customWidth="1"/>
    <col min="7177" max="7177" width="11.85546875" customWidth="1"/>
    <col min="7425" max="7425" width="10.5703125" customWidth="1"/>
    <col min="7426" max="7426" width="26.7109375" customWidth="1"/>
    <col min="7427" max="7427" width="37" customWidth="1"/>
    <col min="7429" max="7429" width="21.85546875" customWidth="1"/>
    <col min="7430" max="7430" width="17.42578125" customWidth="1"/>
    <col min="7431" max="7431" width="10" customWidth="1"/>
    <col min="7433" max="7433" width="11.85546875" customWidth="1"/>
    <col min="7681" max="7681" width="10.5703125" customWidth="1"/>
    <col min="7682" max="7682" width="26.7109375" customWidth="1"/>
    <col min="7683" max="7683" width="37" customWidth="1"/>
    <col min="7685" max="7685" width="21.85546875" customWidth="1"/>
    <col min="7686" max="7686" width="17.42578125" customWidth="1"/>
    <col min="7687" max="7687" width="10" customWidth="1"/>
    <col min="7689" max="7689" width="11.85546875" customWidth="1"/>
    <col min="7937" max="7937" width="10.5703125" customWidth="1"/>
    <col min="7938" max="7938" width="26.7109375" customWidth="1"/>
    <col min="7939" max="7939" width="37" customWidth="1"/>
    <col min="7941" max="7941" width="21.85546875" customWidth="1"/>
    <col min="7942" max="7942" width="17.42578125" customWidth="1"/>
    <col min="7943" max="7943" width="10" customWidth="1"/>
    <col min="7945" max="7945" width="11.85546875" customWidth="1"/>
    <col min="8193" max="8193" width="10.5703125" customWidth="1"/>
    <col min="8194" max="8194" width="26.7109375" customWidth="1"/>
    <col min="8195" max="8195" width="37" customWidth="1"/>
    <col min="8197" max="8197" width="21.85546875" customWidth="1"/>
    <col min="8198" max="8198" width="17.42578125" customWidth="1"/>
    <col min="8199" max="8199" width="10" customWidth="1"/>
    <col min="8201" max="8201" width="11.85546875" customWidth="1"/>
    <col min="8449" max="8449" width="10.5703125" customWidth="1"/>
    <col min="8450" max="8450" width="26.7109375" customWidth="1"/>
    <col min="8451" max="8451" width="37" customWidth="1"/>
    <col min="8453" max="8453" width="21.85546875" customWidth="1"/>
    <col min="8454" max="8454" width="17.42578125" customWidth="1"/>
    <col min="8455" max="8455" width="10" customWidth="1"/>
    <col min="8457" max="8457" width="11.85546875" customWidth="1"/>
    <col min="8705" max="8705" width="10.5703125" customWidth="1"/>
    <col min="8706" max="8706" width="26.7109375" customWidth="1"/>
    <col min="8707" max="8707" width="37" customWidth="1"/>
    <col min="8709" max="8709" width="21.85546875" customWidth="1"/>
    <col min="8710" max="8710" width="17.42578125" customWidth="1"/>
    <col min="8711" max="8711" width="10" customWidth="1"/>
    <col min="8713" max="8713" width="11.85546875" customWidth="1"/>
    <col min="8961" max="8961" width="10.5703125" customWidth="1"/>
    <col min="8962" max="8962" width="26.7109375" customWidth="1"/>
    <col min="8963" max="8963" width="37" customWidth="1"/>
    <col min="8965" max="8965" width="21.85546875" customWidth="1"/>
    <col min="8966" max="8966" width="17.42578125" customWidth="1"/>
    <col min="8967" max="8967" width="10" customWidth="1"/>
    <col min="8969" max="8969" width="11.85546875" customWidth="1"/>
    <col min="9217" max="9217" width="10.5703125" customWidth="1"/>
    <col min="9218" max="9218" width="26.7109375" customWidth="1"/>
    <col min="9219" max="9219" width="37" customWidth="1"/>
    <col min="9221" max="9221" width="21.85546875" customWidth="1"/>
    <col min="9222" max="9222" width="17.42578125" customWidth="1"/>
    <col min="9223" max="9223" width="10" customWidth="1"/>
    <col min="9225" max="9225" width="11.85546875" customWidth="1"/>
    <col min="9473" max="9473" width="10.5703125" customWidth="1"/>
    <col min="9474" max="9474" width="26.7109375" customWidth="1"/>
    <col min="9475" max="9475" width="37" customWidth="1"/>
    <col min="9477" max="9477" width="21.85546875" customWidth="1"/>
    <col min="9478" max="9478" width="17.42578125" customWidth="1"/>
    <col min="9479" max="9479" width="10" customWidth="1"/>
    <col min="9481" max="9481" width="11.85546875" customWidth="1"/>
    <col min="9729" max="9729" width="10.5703125" customWidth="1"/>
    <col min="9730" max="9730" width="26.7109375" customWidth="1"/>
    <col min="9731" max="9731" width="37" customWidth="1"/>
    <col min="9733" max="9733" width="21.85546875" customWidth="1"/>
    <col min="9734" max="9734" width="17.42578125" customWidth="1"/>
    <col min="9735" max="9735" width="10" customWidth="1"/>
    <col min="9737" max="9737" width="11.85546875" customWidth="1"/>
    <col min="9985" max="9985" width="10.5703125" customWidth="1"/>
    <col min="9986" max="9986" width="26.7109375" customWidth="1"/>
    <col min="9987" max="9987" width="37" customWidth="1"/>
    <col min="9989" max="9989" width="21.85546875" customWidth="1"/>
    <col min="9990" max="9990" width="17.42578125" customWidth="1"/>
    <col min="9991" max="9991" width="10" customWidth="1"/>
    <col min="9993" max="9993" width="11.85546875" customWidth="1"/>
    <col min="10241" max="10241" width="10.5703125" customWidth="1"/>
    <col min="10242" max="10242" width="26.7109375" customWidth="1"/>
    <col min="10243" max="10243" width="37" customWidth="1"/>
    <col min="10245" max="10245" width="21.85546875" customWidth="1"/>
    <col min="10246" max="10246" width="17.42578125" customWidth="1"/>
    <col min="10247" max="10247" width="10" customWidth="1"/>
    <col min="10249" max="10249" width="11.85546875" customWidth="1"/>
    <col min="10497" max="10497" width="10.5703125" customWidth="1"/>
    <col min="10498" max="10498" width="26.7109375" customWidth="1"/>
    <col min="10499" max="10499" width="37" customWidth="1"/>
    <col min="10501" max="10501" width="21.85546875" customWidth="1"/>
    <col min="10502" max="10502" width="17.42578125" customWidth="1"/>
    <col min="10503" max="10503" width="10" customWidth="1"/>
    <col min="10505" max="10505" width="11.85546875" customWidth="1"/>
    <col min="10753" max="10753" width="10.5703125" customWidth="1"/>
    <col min="10754" max="10754" width="26.7109375" customWidth="1"/>
    <col min="10755" max="10755" width="37" customWidth="1"/>
    <col min="10757" max="10757" width="21.85546875" customWidth="1"/>
    <col min="10758" max="10758" width="17.42578125" customWidth="1"/>
    <col min="10759" max="10759" width="10" customWidth="1"/>
    <col min="10761" max="10761" width="11.85546875" customWidth="1"/>
    <col min="11009" max="11009" width="10.5703125" customWidth="1"/>
    <col min="11010" max="11010" width="26.7109375" customWidth="1"/>
    <col min="11011" max="11011" width="37" customWidth="1"/>
    <col min="11013" max="11013" width="21.85546875" customWidth="1"/>
    <col min="11014" max="11014" width="17.42578125" customWidth="1"/>
    <col min="11015" max="11015" width="10" customWidth="1"/>
    <col min="11017" max="11017" width="11.85546875" customWidth="1"/>
    <col min="11265" max="11265" width="10.5703125" customWidth="1"/>
    <col min="11266" max="11266" width="26.7109375" customWidth="1"/>
    <col min="11267" max="11267" width="37" customWidth="1"/>
    <col min="11269" max="11269" width="21.85546875" customWidth="1"/>
    <col min="11270" max="11270" width="17.42578125" customWidth="1"/>
    <col min="11271" max="11271" width="10" customWidth="1"/>
    <col min="11273" max="11273" width="11.85546875" customWidth="1"/>
    <col min="11521" max="11521" width="10.5703125" customWidth="1"/>
    <col min="11522" max="11522" width="26.7109375" customWidth="1"/>
    <col min="11523" max="11523" width="37" customWidth="1"/>
    <col min="11525" max="11525" width="21.85546875" customWidth="1"/>
    <col min="11526" max="11526" width="17.42578125" customWidth="1"/>
    <col min="11527" max="11527" width="10" customWidth="1"/>
    <col min="11529" max="11529" width="11.85546875" customWidth="1"/>
    <col min="11777" max="11777" width="10.5703125" customWidth="1"/>
    <col min="11778" max="11778" width="26.7109375" customWidth="1"/>
    <col min="11779" max="11779" width="37" customWidth="1"/>
    <col min="11781" max="11781" width="21.85546875" customWidth="1"/>
    <col min="11782" max="11782" width="17.42578125" customWidth="1"/>
    <col min="11783" max="11783" width="10" customWidth="1"/>
    <col min="11785" max="11785" width="11.85546875" customWidth="1"/>
    <col min="12033" max="12033" width="10.5703125" customWidth="1"/>
    <col min="12034" max="12034" width="26.7109375" customWidth="1"/>
    <col min="12035" max="12035" width="37" customWidth="1"/>
    <col min="12037" max="12037" width="21.85546875" customWidth="1"/>
    <col min="12038" max="12038" width="17.42578125" customWidth="1"/>
    <col min="12039" max="12039" width="10" customWidth="1"/>
    <col min="12041" max="12041" width="11.85546875" customWidth="1"/>
    <col min="12289" max="12289" width="10.5703125" customWidth="1"/>
    <col min="12290" max="12290" width="26.7109375" customWidth="1"/>
    <col min="12291" max="12291" width="37" customWidth="1"/>
    <col min="12293" max="12293" width="21.85546875" customWidth="1"/>
    <col min="12294" max="12294" width="17.42578125" customWidth="1"/>
    <col min="12295" max="12295" width="10" customWidth="1"/>
    <col min="12297" max="12297" width="11.85546875" customWidth="1"/>
    <col min="12545" max="12545" width="10.5703125" customWidth="1"/>
    <col min="12546" max="12546" width="26.7109375" customWidth="1"/>
    <col min="12547" max="12547" width="37" customWidth="1"/>
    <col min="12549" max="12549" width="21.85546875" customWidth="1"/>
    <col min="12550" max="12550" width="17.42578125" customWidth="1"/>
    <col min="12551" max="12551" width="10" customWidth="1"/>
    <col min="12553" max="12553" width="11.85546875" customWidth="1"/>
    <col min="12801" max="12801" width="10.5703125" customWidth="1"/>
    <col min="12802" max="12802" width="26.7109375" customWidth="1"/>
    <col min="12803" max="12803" width="37" customWidth="1"/>
    <col min="12805" max="12805" width="21.85546875" customWidth="1"/>
    <col min="12806" max="12806" width="17.42578125" customWidth="1"/>
    <col min="12807" max="12807" width="10" customWidth="1"/>
    <col min="12809" max="12809" width="11.85546875" customWidth="1"/>
    <col min="13057" max="13057" width="10.5703125" customWidth="1"/>
    <col min="13058" max="13058" width="26.7109375" customWidth="1"/>
    <col min="13059" max="13059" width="37" customWidth="1"/>
    <col min="13061" max="13061" width="21.85546875" customWidth="1"/>
    <col min="13062" max="13062" width="17.42578125" customWidth="1"/>
    <col min="13063" max="13063" width="10" customWidth="1"/>
    <col min="13065" max="13065" width="11.85546875" customWidth="1"/>
    <col min="13313" max="13313" width="10.5703125" customWidth="1"/>
    <col min="13314" max="13314" width="26.7109375" customWidth="1"/>
    <col min="13315" max="13315" width="37" customWidth="1"/>
    <col min="13317" max="13317" width="21.85546875" customWidth="1"/>
    <col min="13318" max="13318" width="17.42578125" customWidth="1"/>
    <col min="13319" max="13319" width="10" customWidth="1"/>
    <col min="13321" max="13321" width="11.85546875" customWidth="1"/>
    <col min="13569" max="13569" width="10.5703125" customWidth="1"/>
    <col min="13570" max="13570" width="26.7109375" customWidth="1"/>
    <col min="13571" max="13571" width="37" customWidth="1"/>
    <col min="13573" max="13573" width="21.85546875" customWidth="1"/>
    <col min="13574" max="13574" width="17.42578125" customWidth="1"/>
    <col min="13575" max="13575" width="10" customWidth="1"/>
    <col min="13577" max="13577" width="11.85546875" customWidth="1"/>
    <col min="13825" max="13825" width="10.5703125" customWidth="1"/>
    <col min="13826" max="13826" width="26.7109375" customWidth="1"/>
    <col min="13827" max="13827" width="37" customWidth="1"/>
    <col min="13829" max="13829" width="21.85546875" customWidth="1"/>
    <col min="13830" max="13830" width="17.42578125" customWidth="1"/>
    <col min="13831" max="13831" width="10" customWidth="1"/>
    <col min="13833" max="13833" width="11.85546875" customWidth="1"/>
    <col min="14081" max="14081" width="10.5703125" customWidth="1"/>
    <col min="14082" max="14082" width="26.7109375" customWidth="1"/>
    <col min="14083" max="14083" width="37" customWidth="1"/>
    <col min="14085" max="14085" width="21.85546875" customWidth="1"/>
    <col min="14086" max="14086" width="17.42578125" customWidth="1"/>
    <col min="14087" max="14087" width="10" customWidth="1"/>
    <col min="14089" max="14089" width="11.85546875" customWidth="1"/>
    <col min="14337" max="14337" width="10.5703125" customWidth="1"/>
    <col min="14338" max="14338" width="26.7109375" customWidth="1"/>
    <col min="14339" max="14339" width="37" customWidth="1"/>
    <col min="14341" max="14341" width="21.85546875" customWidth="1"/>
    <col min="14342" max="14342" width="17.42578125" customWidth="1"/>
    <col min="14343" max="14343" width="10" customWidth="1"/>
    <col min="14345" max="14345" width="11.85546875" customWidth="1"/>
    <col min="14593" max="14593" width="10.5703125" customWidth="1"/>
    <col min="14594" max="14594" width="26.7109375" customWidth="1"/>
    <col min="14595" max="14595" width="37" customWidth="1"/>
    <col min="14597" max="14597" width="21.85546875" customWidth="1"/>
    <col min="14598" max="14598" width="17.42578125" customWidth="1"/>
    <col min="14599" max="14599" width="10" customWidth="1"/>
    <col min="14601" max="14601" width="11.85546875" customWidth="1"/>
    <col min="14849" max="14849" width="10.5703125" customWidth="1"/>
    <col min="14850" max="14850" width="26.7109375" customWidth="1"/>
    <col min="14851" max="14851" width="37" customWidth="1"/>
    <col min="14853" max="14853" width="21.85546875" customWidth="1"/>
    <col min="14854" max="14854" width="17.42578125" customWidth="1"/>
    <col min="14855" max="14855" width="10" customWidth="1"/>
    <col min="14857" max="14857" width="11.85546875" customWidth="1"/>
    <col min="15105" max="15105" width="10.5703125" customWidth="1"/>
    <col min="15106" max="15106" width="26.7109375" customWidth="1"/>
    <col min="15107" max="15107" width="37" customWidth="1"/>
    <col min="15109" max="15109" width="21.85546875" customWidth="1"/>
    <col min="15110" max="15110" width="17.42578125" customWidth="1"/>
    <col min="15111" max="15111" width="10" customWidth="1"/>
    <col min="15113" max="15113" width="11.85546875" customWidth="1"/>
    <col min="15361" max="15361" width="10.5703125" customWidth="1"/>
    <col min="15362" max="15362" width="26.7109375" customWidth="1"/>
    <col min="15363" max="15363" width="37" customWidth="1"/>
    <col min="15365" max="15365" width="21.85546875" customWidth="1"/>
    <col min="15366" max="15366" width="17.42578125" customWidth="1"/>
    <col min="15367" max="15367" width="10" customWidth="1"/>
    <col min="15369" max="15369" width="11.85546875" customWidth="1"/>
    <col min="15617" max="15617" width="10.5703125" customWidth="1"/>
    <col min="15618" max="15618" width="26.7109375" customWidth="1"/>
    <col min="15619" max="15619" width="37" customWidth="1"/>
    <col min="15621" max="15621" width="21.85546875" customWidth="1"/>
    <col min="15622" max="15622" width="17.42578125" customWidth="1"/>
    <col min="15623" max="15623" width="10" customWidth="1"/>
    <col min="15625" max="15625" width="11.85546875" customWidth="1"/>
    <col min="15873" max="15873" width="10.5703125" customWidth="1"/>
    <col min="15874" max="15874" width="26.7109375" customWidth="1"/>
    <col min="15875" max="15875" width="37" customWidth="1"/>
    <col min="15877" max="15877" width="21.85546875" customWidth="1"/>
    <col min="15878" max="15878" width="17.42578125" customWidth="1"/>
    <col min="15879" max="15879" width="10" customWidth="1"/>
    <col min="15881" max="15881" width="11.85546875" customWidth="1"/>
    <col min="16129" max="16129" width="10.5703125" customWidth="1"/>
    <col min="16130" max="16130" width="26.7109375" customWidth="1"/>
    <col min="16131" max="16131" width="37" customWidth="1"/>
    <col min="16133" max="16133" width="21.85546875" customWidth="1"/>
    <col min="16134" max="16134" width="17.42578125" customWidth="1"/>
    <col min="16135" max="16135" width="10" customWidth="1"/>
    <col min="16137" max="16137" width="11.85546875" customWidth="1"/>
  </cols>
  <sheetData>
    <row r="1" spans="1:8" ht="15.75" hidden="1" x14ac:dyDescent="0.25">
      <c r="A1" s="12"/>
      <c r="B1" s="12"/>
      <c r="C1" s="12"/>
      <c r="D1" s="12"/>
      <c r="E1" s="57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E2" s="57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E3" s="57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E4" s="57"/>
      <c r="F4" s="44"/>
      <c r="G4" s="44"/>
      <c r="H4" s="44"/>
    </row>
    <row r="5" spans="1:8" ht="15.75" hidden="1" x14ac:dyDescent="0.25">
      <c r="A5" s="12"/>
      <c r="B5" s="12"/>
      <c r="C5" s="12"/>
      <c r="D5" s="12"/>
      <c r="E5" s="57"/>
      <c r="F5" s="44"/>
      <c r="G5" s="44"/>
      <c r="H5" s="44"/>
    </row>
    <row r="6" spans="1:8" ht="15.75" hidden="1" x14ac:dyDescent="0.25">
      <c r="A6" s="12"/>
      <c r="B6" s="12"/>
      <c r="C6" s="12"/>
      <c r="D6" s="12"/>
      <c r="E6" s="57"/>
      <c r="F6" s="44" t="s">
        <v>179</v>
      </c>
      <c r="G6" s="44"/>
      <c r="H6" s="44"/>
    </row>
    <row r="7" spans="1:8" ht="30.75" customHeight="1" x14ac:dyDescent="0.2">
      <c r="A7" s="283" t="s">
        <v>124</v>
      </c>
      <c r="B7" s="284"/>
      <c r="C7" s="284"/>
      <c r="D7" s="284"/>
      <c r="E7" s="284"/>
      <c r="F7" s="284"/>
      <c r="G7" s="284"/>
      <c r="H7" s="45"/>
    </row>
    <row r="8" spans="1:8" ht="21.75" customHeight="1" thickBot="1" x14ac:dyDescent="0.25">
      <c r="A8" s="285"/>
      <c r="B8" s="285"/>
      <c r="C8" s="285"/>
      <c r="D8" s="285"/>
      <c r="E8" s="285"/>
      <c r="F8" s="285"/>
      <c r="G8" s="285"/>
    </row>
    <row r="9" spans="1:8" ht="42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70" t="s">
        <v>5</v>
      </c>
    </row>
    <row r="10" spans="1:8" ht="27" customHeight="1" x14ac:dyDescent="0.2">
      <c r="A10" s="61" t="s">
        <v>233</v>
      </c>
      <c r="B10" s="20" t="s">
        <v>145</v>
      </c>
      <c r="C10" s="20" t="s">
        <v>148</v>
      </c>
      <c r="D10" s="20">
        <v>1.2</v>
      </c>
      <c r="E10" s="20">
        <f t="shared" ref="E10:E21" si="0">D10*$J$25</f>
        <v>1020</v>
      </c>
      <c r="F10" s="20">
        <f>C28+C38+C32*11</f>
        <v>3103.6200000000003</v>
      </c>
      <c r="G10" s="69">
        <f t="shared" ref="G10:G15" si="1">E10+F10</f>
        <v>4123.6200000000008</v>
      </c>
    </row>
    <row r="11" spans="1:8" ht="40.5" customHeight="1" x14ac:dyDescent="0.2">
      <c r="A11" s="297" t="s">
        <v>234</v>
      </c>
      <c r="B11" s="299" t="s">
        <v>53</v>
      </c>
      <c r="C11" s="24" t="s">
        <v>149</v>
      </c>
      <c r="D11" s="24">
        <v>1.9</v>
      </c>
      <c r="E11" s="24">
        <f t="shared" si="0"/>
        <v>1615</v>
      </c>
      <c r="F11" s="24">
        <f>C28+C29+C30+C31+C38+C32*11+C44+C45</f>
        <v>7786.08</v>
      </c>
      <c r="G11" s="35">
        <f t="shared" si="1"/>
        <v>9401.08</v>
      </c>
    </row>
    <row r="12" spans="1:8" ht="28.5" customHeight="1" x14ac:dyDescent="0.2">
      <c r="A12" s="298"/>
      <c r="B12" s="300"/>
      <c r="C12" s="140" t="s">
        <v>188</v>
      </c>
      <c r="D12" s="24">
        <v>3.4</v>
      </c>
      <c r="E12" s="24">
        <f t="shared" si="0"/>
        <v>2890</v>
      </c>
      <c r="F12" s="24">
        <f>F17+F11</f>
        <v>16418.879999999997</v>
      </c>
      <c r="G12" s="35">
        <f t="shared" si="1"/>
        <v>19308.879999999997</v>
      </c>
    </row>
    <row r="13" spans="1:8" ht="26.25" customHeight="1" x14ac:dyDescent="0.2">
      <c r="A13" s="39" t="s">
        <v>235</v>
      </c>
      <c r="B13" s="4" t="s">
        <v>145</v>
      </c>
      <c r="C13" s="4" t="s">
        <v>148</v>
      </c>
      <c r="D13" s="4">
        <v>1.2</v>
      </c>
      <c r="E13" s="4">
        <f t="shared" si="0"/>
        <v>1020</v>
      </c>
      <c r="F13" s="4">
        <f>F10</f>
        <v>3103.6200000000003</v>
      </c>
      <c r="G13" s="35">
        <f t="shared" si="1"/>
        <v>4123.6200000000008</v>
      </c>
    </row>
    <row r="14" spans="1:8" ht="42.75" customHeight="1" x14ac:dyDescent="0.2">
      <c r="A14" s="39" t="s">
        <v>240</v>
      </c>
      <c r="B14" s="25" t="s">
        <v>53</v>
      </c>
      <c r="C14" s="117" t="s">
        <v>169</v>
      </c>
      <c r="D14" s="24">
        <v>1.9</v>
      </c>
      <c r="E14" s="24">
        <f t="shared" si="0"/>
        <v>1615</v>
      </c>
      <c r="F14" s="24">
        <f>F11</f>
        <v>7786.08</v>
      </c>
      <c r="G14" s="35">
        <f t="shared" si="1"/>
        <v>9401.08</v>
      </c>
    </row>
    <row r="15" spans="1:8" ht="25.5" x14ac:dyDescent="0.2">
      <c r="A15" s="39" t="s">
        <v>237</v>
      </c>
      <c r="B15" s="4" t="s">
        <v>145</v>
      </c>
      <c r="C15" s="4" t="s">
        <v>150</v>
      </c>
      <c r="D15" s="4">
        <v>1.2</v>
      </c>
      <c r="E15" s="4">
        <f t="shared" si="0"/>
        <v>1020</v>
      </c>
      <c r="F15" s="4">
        <f>F10</f>
        <v>3103.6200000000003</v>
      </c>
      <c r="G15" s="35">
        <f t="shared" si="1"/>
        <v>4123.6200000000008</v>
      </c>
    </row>
    <row r="16" spans="1:8" ht="38.25" x14ac:dyDescent="0.2">
      <c r="A16" s="39" t="s">
        <v>238</v>
      </c>
      <c r="B16" s="25" t="s">
        <v>53</v>
      </c>
      <c r="C16" s="117" t="s">
        <v>170</v>
      </c>
      <c r="D16" s="24">
        <v>1.9</v>
      </c>
      <c r="E16" s="24">
        <f t="shared" si="0"/>
        <v>1615</v>
      </c>
      <c r="F16" s="24">
        <f>F11</f>
        <v>7786.08</v>
      </c>
      <c r="G16" s="35">
        <f t="shared" ref="G16:G25" si="2">E16+F16</f>
        <v>9401.08</v>
      </c>
    </row>
    <row r="17" spans="1:39" ht="15.75" x14ac:dyDescent="0.2">
      <c r="A17" s="187">
        <v>120000</v>
      </c>
      <c r="B17" s="11" t="s">
        <v>61</v>
      </c>
      <c r="C17" s="11" t="s">
        <v>62</v>
      </c>
      <c r="D17" s="11">
        <v>1.6</v>
      </c>
      <c r="E17" s="4">
        <f t="shared" si="0"/>
        <v>1360</v>
      </c>
      <c r="F17" s="11">
        <f>C40+C41+C42+C35*9</f>
        <v>8632.7999999999993</v>
      </c>
      <c r="G17" s="35">
        <f t="shared" si="2"/>
        <v>9992.7999999999993</v>
      </c>
    </row>
    <row r="18" spans="1:39" ht="15.75" x14ac:dyDescent="0.2">
      <c r="A18" s="39" t="s">
        <v>242</v>
      </c>
      <c r="B18" s="25" t="s">
        <v>63</v>
      </c>
      <c r="C18" s="140" t="s">
        <v>189</v>
      </c>
      <c r="D18" s="26">
        <v>0.2</v>
      </c>
      <c r="E18" s="24">
        <f t="shared" si="0"/>
        <v>170</v>
      </c>
      <c r="F18" s="26">
        <f>C34*3</f>
        <v>3426.66</v>
      </c>
      <c r="G18" s="36">
        <f t="shared" si="2"/>
        <v>3596.66</v>
      </c>
    </row>
    <row r="19" spans="1:39" ht="15.75" x14ac:dyDescent="0.2">
      <c r="A19" s="39" t="s">
        <v>242</v>
      </c>
      <c r="B19" s="11" t="s">
        <v>64</v>
      </c>
      <c r="C19" s="139" t="s">
        <v>190</v>
      </c>
      <c r="D19" s="13">
        <v>0.2</v>
      </c>
      <c r="E19" s="4">
        <f t="shared" si="0"/>
        <v>170</v>
      </c>
      <c r="F19" s="14">
        <f>C43*2.5</f>
        <v>651.5</v>
      </c>
      <c r="G19" s="36">
        <f t="shared" si="2"/>
        <v>821.5</v>
      </c>
    </row>
    <row r="20" spans="1:39" ht="15.75" x14ac:dyDescent="0.2">
      <c r="A20" s="39" t="s">
        <v>65</v>
      </c>
      <c r="B20" s="25" t="s">
        <v>66</v>
      </c>
      <c r="C20" s="25" t="s">
        <v>7</v>
      </c>
      <c r="D20" s="26">
        <v>0.8</v>
      </c>
      <c r="E20" s="24">
        <f t="shared" si="0"/>
        <v>680</v>
      </c>
      <c r="F20" s="26">
        <f>C36</f>
        <v>625.91999999999996</v>
      </c>
      <c r="G20" s="36">
        <f t="shared" si="2"/>
        <v>1305.92</v>
      </c>
    </row>
    <row r="21" spans="1:39" ht="15.75" x14ac:dyDescent="0.2">
      <c r="A21" s="39" t="s">
        <v>67</v>
      </c>
      <c r="B21" s="11" t="s">
        <v>68</v>
      </c>
      <c r="C21" s="238" t="s">
        <v>389</v>
      </c>
      <c r="D21" s="13">
        <v>0.3</v>
      </c>
      <c r="E21" s="4">
        <f t="shared" si="0"/>
        <v>255</v>
      </c>
      <c r="F21" s="13">
        <f>C37*4+C39*5</f>
        <v>2802.93</v>
      </c>
      <c r="G21" s="36">
        <f t="shared" si="2"/>
        <v>3057.93</v>
      </c>
    </row>
    <row r="22" spans="1:39" s="9" customFormat="1" ht="60" customHeight="1" x14ac:dyDescent="0.2">
      <c r="A22" s="191"/>
      <c r="B22" s="304" t="s">
        <v>323</v>
      </c>
      <c r="C22" s="304"/>
      <c r="D22" s="304"/>
      <c r="E22" s="304"/>
      <c r="F22" s="304"/>
      <c r="G22" s="192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ht="25.5" x14ac:dyDescent="0.2">
      <c r="A23" s="39" t="s">
        <v>228</v>
      </c>
      <c r="B23" s="4" t="s">
        <v>145</v>
      </c>
      <c r="C23" s="4" t="s">
        <v>148</v>
      </c>
      <c r="D23" s="4">
        <v>1.2</v>
      </c>
      <c r="E23" s="4">
        <f>J25*D23</f>
        <v>1020</v>
      </c>
      <c r="F23" s="4">
        <f>C28+C33*11+C38</f>
        <v>4005.18</v>
      </c>
      <c r="G23" s="35">
        <f t="shared" si="2"/>
        <v>5025.18</v>
      </c>
    </row>
    <row r="24" spans="1:39" ht="54.75" customHeight="1" thickBot="1" x14ac:dyDescent="0.25">
      <c r="A24" s="287" t="s">
        <v>239</v>
      </c>
      <c r="B24" s="302" t="s">
        <v>53</v>
      </c>
      <c r="C24" s="117" t="s">
        <v>171</v>
      </c>
      <c r="D24" s="24">
        <v>1.9</v>
      </c>
      <c r="E24" s="24">
        <f>J25*D24</f>
        <v>1615</v>
      </c>
      <c r="F24" s="24">
        <f>C28+C29+C30+C31+C33*11+C44+C45+C38</f>
        <v>8687.64</v>
      </c>
      <c r="G24" s="35">
        <f t="shared" si="2"/>
        <v>10302.64</v>
      </c>
    </row>
    <row r="25" spans="1:39" ht="40.5" customHeight="1" thickBot="1" x14ac:dyDescent="0.25">
      <c r="A25" s="301"/>
      <c r="B25" s="303"/>
      <c r="C25" s="64" t="s">
        <v>54</v>
      </c>
      <c r="D25" s="64">
        <v>3.4</v>
      </c>
      <c r="E25" s="64">
        <f>J25*D25</f>
        <v>2890</v>
      </c>
      <c r="F25" s="64">
        <f>F24+F17</f>
        <v>17320.439999999999</v>
      </c>
      <c r="G25" s="37">
        <f t="shared" si="2"/>
        <v>20210.439999999999</v>
      </c>
      <c r="I25" s="118" t="s">
        <v>69</v>
      </c>
      <c r="J25" s="119">
        <v>850</v>
      </c>
    </row>
    <row r="26" spans="1:39" s="10" customFormat="1" ht="40.5" customHeight="1" thickBot="1" x14ac:dyDescent="0.25">
      <c r="A26" s="30"/>
      <c r="B26" s="66"/>
      <c r="C26" s="17"/>
      <c r="D26" s="17"/>
      <c r="E26" s="17"/>
      <c r="F26" s="17"/>
      <c r="G26" s="67"/>
    </row>
    <row r="27" spans="1:39" ht="18.75" thickBot="1" x14ac:dyDescent="0.3">
      <c r="A27" s="17"/>
      <c r="B27" s="65" t="s">
        <v>49</v>
      </c>
      <c r="C27" s="124" t="s">
        <v>121</v>
      </c>
      <c r="D27" s="17"/>
      <c r="E27" s="17"/>
      <c r="F27" s="17"/>
      <c r="G27" s="17"/>
    </row>
    <row r="28" spans="1:39" ht="14.25" x14ac:dyDescent="0.2">
      <c r="A28" s="71"/>
      <c r="B28" s="129" t="s">
        <v>427</v>
      </c>
      <c r="C28" s="125">
        <v>722.16</v>
      </c>
      <c r="D28" s="17"/>
      <c r="E28" s="17"/>
      <c r="F28" s="17"/>
      <c r="G28" s="17"/>
    </row>
    <row r="29" spans="1:39" ht="14.25" x14ac:dyDescent="0.2">
      <c r="A29" s="16"/>
      <c r="B29" s="130" t="s">
        <v>428</v>
      </c>
      <c r="C29" s="126">
        <v>2978.82</v>
      </c>
      <c r="D29" s="17"/>
      <c r="E29" s="17"/>
      <c r="F29" s="17"/>
      <c r="G29" s="17"/>
    </row>
    <row r="30" spans="1:39" ht="14.25" x14ac:dyDescent="0.2">
      <c r="A30" s="16"/>
      <c r="B30" s="120" t="s">
        <v>450</v>
      </c>
      <c r="C30" s="126">
        <v>776.64</v>
      </c>
      <c r="D30" s="17"/>
      <c r="E30" s="17"/>
      <c r="F30" s="17"/>
      <c r="G30" s="17"/>
    </row>
    <row r="31" spans="1:39" ht="14.25" x14ac:dyDescent="0.2">
      <c r="A31" s="16"/>
      <c r="B31" s="120" t="s">
        <v>416</v>
      </c>
      <c r="C31" s="126">
        <v>727.92</v>
      </c>
      <c r="D31" s="17"/>
      <c r="E31" s="17"/>
      <c r="F31" s="17"/>
      <c r="G31" s="17"/>
    </row>
    <row r="32" spans="1:39" ht="14.25" x14ac:dyDescent="0.2">
      <c r="A32" s="16"/>
      <c r="B32" s="120" t="s">
        <v>431</v>
      </c>
      <c r="C32" s="126">
        <v>213.24</v>
      </c>
      <c r="D32" s="17"/>
      <c r="E32" s="17"/>
      <c r="F32" s="17"/>
      <c r="G32" s="17"/>
    </row>
    <row r="33" spans="1:7" ht="28.5" x14ac:dyDescent="0.2">
      <c r="A33" s="16"/>
      <c r="B33" s="130" t="s">
        <v>432</v>
      </c>
      <c r="C33" s="126">
        <v>295.2</v>
      </c>
      <c r="D33" s="17"/>
      <c r="E33" s="17"/>
      <c r="F33" s="17"/>
      <c r="G33" s="17"/>
    </row>
    <row r="34" spans="1:7" ht="14.25" x14ac:dyDescent="0.2">
      <c r="A34" s="16"/>
      <c r="B34" s="130" t="s">
        <v>433</v>
      </c>
      <c r="C34" s="126">
        <v>1142.22</v>
      </c>
      <c r="D34" s="159"/>
      <c r="E34" s="17"/>
      <c r="F34" s="17"/>
      <c r="G34" s="17"/>
    </row>
    <row r="35" spans="1:7" ht="14.25" x14ac:dyDescent="0.2">
      <c r="A35" s="16"/>
      <c r="B35" s="120" t="s">
        <v>434</v>
      </c>
      <c r="C35" s="126">
        <v>812.58</v>
      </c>
      <c r="D35" s="159"/>
      <c r="E35" s="17"/>
      <c r="F35" s="17"/>
      <c r="G35" s="17"/>
    </row>
    <row r="36" spans="1:7" ht="14.25" x14ac:dyDescent="0.2">
      <c r="A36" s="16"/>
      <c r="B36" s="130" t="s">
        <v>435</v>
      </c>
      <c r="C36" s="126">
        <v>625.91999999999996</v>
      </c>
      <c r="D36" s="136"/>
      <c r="E36" s="10"/>
      <c r="F36" s="10"/>
      <c r="G36" s="10"/>
    </row>
    <row r="37" spans="1:7" ht="14.25" x14ac:dyDescent="0.2">
      <c r="A37" s="16"/>
      <c r="B37" s="130" t="s">
        <v>436</v>
      </c>
      <c r="C37" s="126">
        <v>681.12</v>
      </c>
      <c r="D37" s="17"/>
      <c r="E37" s="10"/>
      <c r="F37" s="10"/>
      <c r="G37" s="10"/>
    </row>
    <row r="38" spans="1:7" ht="14.25" x14ac:dyDescent="0.2">
      <c r="A38" s="72"/>
      <c r="B38" s="130" t="s">
        <v>437</v>
      </c>
      <c r="C38" s="126">
        <v>35.82</v>
      </c>
      <c r="D38" s="138"/>
      <c r="E38" s="10"/>
      <c r="F38" s="10"/>
      <c r="G38" s="10"/>
    </row>
    <row r="39" spans="1:7" ht="14.25" x14ac:dyDescent="0.2">
      <c r="A39" s="16"/>
      <c r="B39" s="130" t="s">
        <v>438</v>
      </c>
      <c r="C39" s="126">
        <v>15.69</v>
      </c>
      <c r="D39" s="137"/>
      <c r="E39" s="10"/>
      <c r="F39" s="10"/>
      <c r="G39" s="10"/>
    </row>
    <row r="40" spans="1:7" ht="14.25" x14ac:dyDescent="0.2">
      <c r="A40" s="16"/>
      <c r="B40" s="130" t="s">
        <v>441</v>
      </c>
      <c r="C40" s="126">
        <v>768.48</v>
      </c>
      <c r="D40" s="138"/>
      <c r="E40" s="10"/>
      <c r="F40" s="10"/>
      <c r="G40" s="10"/>
    </row>
    <row r="41" spans="1:7" ht="14.25" x14ac:dyDescent="0.2">
      <c r="A41" s="16"/>
      <c r="B41" s="130" t="s">
        <v>439</v>
      </c>
      <c r="C41" s="126">
        <v>501.06</v>
      </c>
      <c r="D41" s="138"/>
      <c r="E41" s="10"/>
      <c r="F41" s="10"/>
      <c r="G41" s="10"/>
    </row>
    <row r="42" spans="1:7" ht="14.25" x14ac:dyDescent="0.2">
      <c r="A42" s="16"/>
      <c r="B42" s="130" t="s">
        <v>440</v>
      </c>
      <c r="C42" s="126">
        <v>50.04</v>
      </c>
      <c r="D42" s="138"/>
      <c r="E42" s="10"/>
      <c r="F42" s="10"/>
      <c r="G42" s="10"/>
    </row>
    <row r="43" spans="1:7" ht="14.25" x14ac:dyDescent="0.2">
      <c r="A43" s="73"/>
      <c r="B43" s="120" t="s">
        <v>452</v>
      </c>
      <c r="C43" s="135">
        <v>260.60000000000002</v>
      </c>
      <c r="D43" s="136"/>
      <c r="E43" s="10"/>
      <c r="F43" s="10"/>
      <c r="G43" s="10"/>
    </row>
    <row r="44" spans="1:7" ht="14.25" x14ac:dyDescent="0.2">
      <c r="A44" s="16"/>
      <c r="B44" s="130" t="s">
        <v>443</v>
      </c>
      <c r="C44" s="126">
        <v>94.26</v>
      </c>
      <c r="D44" s="17"/>
      <c r="E44" s="10"/>
      <c r="F44" s="10"/>
      <c r="G44" s="10"/>
    </row>
    <row r="45" spans="1:7" ht="15" thickBot="1" x14ac:dyDescent="0.25">
      <c r="A45" s="18"/>
      <c r="B45" s="131" t="s">
        <v>444</v>
      </c>
      <c r="C45" s="127">
        <v>104.82</v>
      </c>
      <c r="D45" s="17"/>
      <c r="E45" s="10"/>
      <c r="F45" s="10"/>
      <c r="G45" s="10"/>
    </row>
    <row r="46" spans="1:7" x14ac:dyDescent="0.2">
      <c r="A46" s="8"/>
      <c r="B46" s="2"/>
      <c r="C46" s="2"/>
    </row>
    <row r="47" spans="1:7" x14ac:dyDescent="0.2">
      <c r="A47" s="8"/>
    </row>
    <row r="48" spans="1:7" x14ac:dyDescent="0.2">
      <c r="A48" s="8"/>
    </row>
  </sheetData>
  <sheetProtection algorithmName="SHA-512" hashValue="xzBUcNGfMpRHYYsrXWcc+UWwyegAW+YLv/WE3REArf4Dx4CmUJhTdfpb3dt5kkihdETCuRPlK+67Ls2QOw0W5A==" saltValue="yGQwyLOuLm14oVRBPzXOSg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showPageBreaks="1" printArea="1" hiddenRows="1" hiddenColumns="1" topLeftCell="A19">
      <selection activeCell="C50" sqref="C50"/>
      <pageMargins left="0.23622047244094491" right="0.23622047244094491" top="0.74803149606299213" bottom="0.74803149606299213" header="0.31496062992125984" footer="0.31496062992125984"/>
      <pageSetup paperSize="9" scale="55" orientation="portrait" r:id="rId1"/>
    </customSheetView>
  </customSheetViews>
  <mergeCells count="6">
    <mergeCell ref="A7:G8"/>
    <mergeCell ref="A11:A12"/>
    <mergeCell ref="B11:B12"/>
    <mergeCell ref="A24:A25"/>
    <mergeCell ref="B24:B25"/>
    <mergeCell ref="B22:F22"/>
  </mergeCells>
  <pageMargins left="0.23622047244094491" right="0.23622047244094491" top="0.74803149606299213" bottom="0.74803149606299213" header="0.31496062992125984" footer="0.31496062992125984"/>
  <pageSetup paperSize="9" scale="55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="90" zoomScaleNormal="90" workbookViewId="0">
      <selection activeCell="J4" sqref="J4"/>
    </sheetView>
  </sheetViews>
  <sheetFormatPr defaultRowHeight="38.25" customHeight="1" x14ac:dyDescent="0.2"/>
  <cols>
    <col min="1" max="1" width="22.7109375" customWidth="1"/>
    <col min="2" max="2" width="52.7109375" customWidth="1"/>
    <col min="3" max="3" width="40.85546875" customWidth="1"/>
    <col min="4" max="4" width="9.28515625" customWidth="1"/>
    <col min="5" max="5" width="8" customWidth="1"/>
    <col min="6" max="6" width="13.28515625" customWidth="1"/>
    <col min="7" max="7" width="17.7109375" customWidth="1"/>
    <col min="8" max="8" width="8.42578125" customWidth="1"/>
    <col min="9" max="9" width="9.140625" hidden="1" customWidth="1"/>
    <col min="10" max="10" width="14.28515625" customWidth="1"/>
  </cols>
  <sheetData>
    <row r="1" spans="1:7" ht="38.25" customHeight="1" x14ac:dyDescent="0.2">
      <c r="A1" s="283" t="s">
        <v>482</v>
      </c>
      <c r="B1" s="284"/>
      <c r="C1" s="284"/>
      <c r="D1" s="284"/>
      <c r="E1" s="284"/>
      <c r="F1" s="284"/>
      <c r="G1" s="284"/>
    </row>
    <row r="2" spans="1:7" ht="47.25" customHeight="1" thickBot="1" x14ac:dyDescent="0.25">
      <c r="A2" s="285"/>
      <c r="B2" s="285"/>
      <c r="C2" s="285"/>
      <c r="D2" s="285"/>
      <c r="E2" s="285"/>
      <c r="F2" s="285"/>
      <c r="G2" s="285"/>
    </row>
    <row r="3" spans="1:7" ht="24.75" customHeight="1" thickBot="1" x14ac:dyDescent="0.25">
      <c r="A3" s="275" t="s">
        <v>395</v>
      </c>
      <c r="B3" s="252" t="s">
        <v>145</v>
      </c>
      <c r="C3" s="252" t="s">
        <v>406</v>
      </c>
      <c r="D3" s="252">
        <v>0.8</v>
      </c>
      <c r="E3" s="252">
        <f>D3*$J$28</f>
        <v>680</v>
      </c>
      <c r="F3" s="252">
        <f>C24+C34+C28*11.5</f>
        <v>3210.2400000000002</v>
      </c>
      <c r="G3" s="276">
        <f t="shared" ref="G3:G21" si="0">E3+F3</f>
        <v>3890.2400000000002</v>
      </c>
    </row>
    <row r="4" spans="1:7" ht="51.75" customHeight="1" x14ac:dyDescent="0.2">
      <c r="A4" s="308" t="s">
        <v>102</v>
      </c>
      <c r="B4" s="305" t="s">
        <v>53</v>
      </c>
      <c r="C4" s="251" t="s">
        <v>149</v>
      </c>
      <c r="D4" s="251">
        <v>1.9</v>
      </c>
      <c r="E4" s="251">
        <f>D4*$J$28</f>
        <v>1615</v>
      </c>
      <c r="F4" s="251">
        <f>C24+C25+C26+C27+C34+C28*11.5+C40+C41</f>
        <v>7921.6799999999994</v>
      </c>
      <c r="G4" s="35">
        <f t="shared" si="0"/>
        <v>9536.68</v>
      </c>
    </row>
    <row r="5" spans="1:7" ht="38.25" customHeight="1" x14ac:dyDescent="0.2">
      <c r="A5" s="309"/>
      <c r="B5" s="306"/>
      <c r="C5" s="251" t="s">
        <v>188</v>
      </c>
      <c r="D5" s="251">
        <v>3.4</v>
      </c>
      <c r="E5" s="251">
        <f>D5*$J$28</f>
        <v>2890</v>
      </c>
      <c r="F5" s="261">
        <f>F13+F4</f>
        <v>18104.939999999999</v>
      </c>
      <c r="G5" s="35">
        <f t="shared" si="0"/>
        <v>20994.94</v>
      </c>
    </row>
    <row r="6" spans="1:7" ht="38.25" customHeight="1" thickBot="1" x14ac:dyDescent="0.25">
      <c r="A6" s="310"/>
      <c r="B6" s="255" t="s">
        <v>53</v>
      </c>
      <c r="C6" s="251" t="s">
        <v>405</v>
      </c>
      <c r="D6" s="251">
        <v>3.8</v>
      </c>
      <c r="E6" s="251">
        <f>J28*D6</f>
        <v>3230</v>
      </c>
      <c r="F6" s="251">
        <f>F5+F11+F12</f>
        <v>19757.97</v>
      </c>
      <c r="G6" s="35">
        <f>F6+E6</f>
        <v>22987.97</v>
      </c>
    </row>
    <row r="7" spans="1:7" ht="38.25" customHeight="1" x14ac:dyDescent="0.2">
      <c r="A7" s="260" t="s">
        <v>396</v>
      </c>
      <c r="B7" s="245" t="s">
        <v>145</v>
      </c>
      <c r="C7" s="245" t="s">
        <v>406</v>
      </c>
      <c r="D7" s="245">
        <v>1.2</v>
      </c>
      <c r="E7" s="245">
        <f t="shared" ref="E7:E17" si="1">D7*$J$28</f>
        <v>1020</v>
      </c>
      <c r="F7" s="252">
        <f>F3</f>
        <v>3210.2400000000002</v>
      </c>
      <c r="G7" s="259">
        <f t="shared" si="0"/>
        <v>4230.24</v>
      </c>
    </row>
    <row r="8" spans="1:7" ht="38.25" customHeight="1" x14ac:dyDescent="0.2">
      <c r="A8" s="243" t="s">
        <v>397</v>
      </c>
      <c r="B8" s="249" t="s">
        <v>53</v>
      </c>
      <c r="C8" s="251" t="s">
        <v>169</v>
      </c>
      <c r="D8" s="251">
        <v>1.9</v>
      </c>
      <c r="E8" s="251">
        <f t="shared" si="1"/>
        <v>1615</v>
      </c>
      <c r="F8" s="251">
        <f>F4</f>
        <v>7921.6799999999994</v>
      </c>
      <c r="G8" s="35">
        <f t="shared" si="0"/>
        <v>9536.68</v>
      </c>
    </row>
    <row r="9" spans="1:7" ht="28.5" customHeight="1" x14ac:dyDescent="0.2">
      <c r="A9" s="262" t="s">
        <v>398</v>
      </c>
      <c r="B9" s="245" t="s">
        <v>145</v>
      </c>
      <c r="C9" s="245" t="s">
        <v>407</v>
      </c>
      <c r="D9" s="245">
        <v>1.2</v>
      </c>
      <c r="E9" s="245">
        <f t="shared" si="1"/>
        <v>1020</v>
      </c>
      <c r="F9" s="252">
        <f>F3</f>
        <v>3210.2400000000002</v>
      </c>
      <c r="G9" s="259">
        <f t="shared" si="0"/>
        <v>4230.24</v>
      </c>
    </row>
    <row r="10" spans="1:7" ht="22.5" customHeight="1" x14ac:dyDescent="0.2">
      <c r="A10" s="243" t="s">
        <v>399</v>
      </c>
      <c r="B10" s="249" t="s">
        <v>53</v>
      </c>
      <c r="C10" s="251" t="s">
        <v>170</v>
      </c>
      <c r="D10" s="251">
        <v>1.9</v>
      </c>
      <c r="E10" s="251">
        <f t="shared" si="1"/>
        <v>1615</v>
      </c>
      <c r="F10" s="251">
        <f>F4</f>
        <v>7921.6799999999994</v>
      </c>
      <c r="G10" s="35">
        <f t="shared" si="0"/>
        <v>9536.68</v>
      </c>
    </row>
    <row r="11" spans="1:7" ht="27.75" customHeight="1" x14ac:dyDescent="0.2">
      <c r="A11" s="258">
        <v>120000</v>
      </c>
      <c r="B11" s="246" t="s">
        <v>403</v>
      </c>
      <c r="C11" s="245" t="s">
        <v>411</v>
      </c>
      <c r="D11" s="245">
        <v>0.3</v>
      </c>
      <c r="E11" s="245">
        <f t="shared" si="1"/>
        <v>255</v>
      </c>
      <c r="F11" s="252">
        <f>C42*1</f>
        <v>755.7</v>
      </c>
      <c r="G11" s="259">
        <f>F11+E11</f>
        <v>1010.7</v>
      </c>
    </row>
    <row r="12" spans="1:7" ht="27" customHeight="1" x14ac:dyDescent="0.2">
      <c r="A12" s="242">
        <v>120000</v>
      </c>
      <c r="B12" s="250" t="s">
        <v>404</v>
      </c>
      <c r="C12" s="251" t="s">
        <v>412</v>
      </c>
      <c r="D12" s="251">
        <v>0.3</v>
      </c>
      <c r="E12" s="251">
        <f t="shared" si="1"/>
        <v>255</v>
      </c>
      <c r="F12" s="251">
        <f>C43*1</f>
        <v>897.33</v>
      </c>
      <c r="G12" s="35">
        <f>F12+E12</f>
        <v>1152.33</v>
      </c>
    </row>
    <row r="13" spans="1:7" ht="25.5" customHeight="1" x14ac:dyDescent="0.2">
      <c r="A13" s="258">
        <v>120000</v>
      </c>
      <c r="B13" s="244" t="s">
        <v>61</v>
      </c>
      <c r="C13" s="244" t="s">
        <v>62</v>
      </c>
      <c r="D13" s="244">
        <v>1.6</v>
      </c>
      <c r="E13" s="245">
        <f t="shared" si="1"/>
        <v>1360</v>
      </c>
      <c r="F13" s="252">
        <f>C36+C37+C38+C31*9</f>
        <v>10183.26</v>
      </c>
      <c r="G13" s="259">
        <f t="shared" si="0"/>
        <v>11543.26</v>
      </c>
    </row>
    <row r="14" spans="1:7" ht="30.75" customHeight="1" x14ac:dyDescent="0.2">
      <c r="A14" s="243" t="s">
        <v>401</v>
      </c>
      <c r="B14" s="249" t="s">
        <v>63</v>
      </c>
      <c r="C14" s="251" t="s">
        <v>189</v>
      </c>
      <c r="D14" s="26">
        <v>0.2</v>
      </c>
      <c r="E14" s="251">
        <f t="shared" si="1"/>
        <v>170</v>
      </c>
      <c r="F14" s="251">
        <f>C30*3</f>
        <v>3426.66</v>
      </c>
      <c r="G14" s="36">
        <f t="shared" si="0"/>
        <v>3596.66</v>
      </c>
    </row>
    <row r="15" spans="1:7" ht="38.25" customHeight="1" x14ac:dyDescent="0.2">
      <c r="A15" s="262" t="s">
        <v>242</v>
      </c>
      <c r="B15" s="244" t="s">
        <v>64</v>
      </c>
      <c r="C15" s="245" t="s">
        <v>414</v>
      </c>
      <c r="D15" s="13">
        <v>0.2</v>
      </c>
      <c r="E15" s="245">
        <f t="shared" si="1"/>
        <v>170</v>
      </c>
      <c r="F15" s="252">
        <f>2.2*C39</f>
        <v>1405.8000000000002</v>
      </c>
      <c r="G15" s="263">
        <f t="shared" si="0"/>
        <v>1575.8000000000002</v>
      </c>
    </row>
    <row r="16" spans="1:7" ht="38.25" customHeight="1" thickBot="1" x14ac:dyDescent="0.25">
      <c r="A16" s="247" t="s">
        <v>334</v>
      </c>
      <c r="B16" s="248" t="s">
        <v>66</v>
      </c>
      <c r="C16" s="248" t="s">
        <v>7</v>
      </c>
      <c r="D16" s="264">
        <v>0.8</v>
      </c>
      <c r="E16" s="265">
        <f t="shared" si="1"/>
        <v>680</v>
      </c>
      <c r="F16" s="265">
        <f>C32</f>
        <v>625.91999999999996</v>
      </c>
      <c r="G16" s="266">
        <f t="shared" si="0"/>
        <v>1305.92</v>
      </c>
    </row>
    <row r="17" spans="1:10" ht="38.25" customHeight="1" thickBot="1" x14ac:dyDescent="0.25">
      <c r="A17" s="273" t="s">
        <v>402</v>
      </c>
      <c r="B17" s="269" t="s">
        <v>68</v>
      </c>
      <c r="C17" s="270" t="s">
        <v>389</v>
      </c>
      <c r="D17" s="271">
        <v>0.3</v>
      </c>
      <c r="E17" s="272">
        <f t="shared" si="1"/>
        <v>255</v>
      </c>
      <c r="F17" s="272">
        <f>C33*4+C35*5</f>
        <v>2802.93</v>
      </c>
      <c r="G17" s="274">
        <f t="shared" si="0"/>
        <v>3057.93</v>
      </c>
    </row>
    <row r="18" spans="1:10" ht="38.25" customHeight="1" x14ac:dyDescent="0.2">
      <c r="A18" s="267"/>
      <c r="B18" s="307" t="s">
        <v>323</v>
      </c>
      <c r="C18" s="307"/>
      <c r="D18" s="307"/>
      <c r="E18" s="307"/>
      <c r="F18" s="307"/>
      <c r="G18" s="268"/>
    </row>
    <row r="19" spans="1:10" ht="38.25" customHeight="1" x14ac:dyDescent="0.2">
      <c r="A19" s="262" t="s">
        <v>228</v>
      </c>
      <c r="B19" s="245" t="s">
        <v>145</v>
      </c>
      <c r="C19" s="245" t="s">
        <v>406</v>
      </c>
      <c r="D19" s="245">
        <v>1.2</v>
      </c>
      <c r="E19" s="245">
        <f>J28*D19</f>
        <v>1020</v>
      </c>
      <c r="F19" s="245">
        <f>C24+C29*11+C34</f>
        <v>4005.18</v>
      </c>
      <c r="G19" s="259">
        <f t="shared" si="0"/>
        <v>5025.18</v>
      </c>
    </row>
    <row r="20" spans="1:10" ht="18" customHeight="1" x14ac:dyDescent="0.2">
      <c r="A20" s="287" t="s">
        <v>239</v>
      </c>
      <c r="B20" s="302" t="s">
        <v>53</v>
      </c>
      <c r="C20" s="251" t="s">
        <v>408</v>
      </c>
      <c r="D20" s="251">
        <v>1.9</v>
      </c>
      <c r="E20" s="251">
        <f>J28*D20</f>
        <v>1615</v>
      </c>
      <c r="F20" s="251">
        <f>C24+C25+C26+C27+C29*11+C40+C41+C34</f>
        <v>8716.619999999999</v>
      </c>
      <c r="G20" s="35">
        <f t="shared" si="0"/>
        <v>10331.619999999999</v>
      </c>
    </row>
    <row r="21" spans="1:10" ht="23.25" customHeight="1" thickBot="1" x14ac:dyDescent="0.25">
      <c r="A21" s="301"/>
      <c r="B21" s="303"/>
      <c r="C21" s="64" t="s">
        <v>54</v>
      </c>
      <c r="D21" s="64">
        <v>3.4</v>
      </c>
      <c r="E21" s="64">
        <f>J28*D21</f>
        <v>2890</v>
      </c>
      <c r="F21" s="64">
        <f>F20+F13</f>
        <v>18899.879999999997</v>
      </c>
      <c r="G21" s="37">
        <f t="shared" si="0"/>
        <v>21789.879999999997</v>
      </c>
    </row>
    <row r="22" spans="1:10" ht="23.25" customHeight="1" thickBot="1" x14ac:dyDescent="0.25">
      <c r="A22" s="30"/>
      <c r="B22" s="66"/>
      <c r="C22" s="17"/>
      <c r="D22" s="17"/>
      <c r="E22" s="17"/>
      <c r="F22" s="17"/>
      <c r="G22" s="67"/>
    </row>
    <row r="23" spans="1:10" ht="23.25" customHeight="1" thickBot="1" x14ac:dyDescent="0.3">
      <c r="A23" s="17"/>
      <c r="B23" s="65" t="s">
        <v>49</v>
      </c>
      <c r="C23" s="124" t="s">
        <v>121</v>
      </c>
      <c r="D23" s="17"/>
      <c r="E23" s="17"/>
      <c r="F23" s="17"/>
      <c r="G23" s="17"/>
    </row>
    <row r="24" spans="1:10" ht="23.25" customHeight="1" x14ac:dyDescent="0.2">
      <c r="A24" s="71"/>
      <c r="B24" s="143" t="s">
        <v>427</v>
      </c>
      <c r="C24" s="125">
        <v>722.16</v>
      </c>
      <c r="D24" s="17"/>
      <c r="E24" s="17"/>
      <c r="F24" s="17"/>
      <c r="G24" s="17"/>
    </row>
    <row r="25" spans="1:10" ht="23.25" customHeight="1" x14ac:dyDescent="0.2">
      <c r="A25" s="16"/>
      <c r="B25" s="120" t="s">
        <v>428</v>
      </c>
      <c r="C25" s="126">
        <v>2978.82</v>
      </c>
      <c r="D25" s="17"/>
      <c r="E25" s="17"/>
      <c r="F25" s="17"/>
      <c r="G25" s="17"/>
    </row>
    <row r="26" spans="1:10" ht="23.25" customHeight="1" x14ac:dyDescent="0.2">
      <c r="A26" s="16"/>
      <c r="B26" s="120" t="s">
        <v>450</v>
      </c>
      <c r="C26" s="126">
        <v>776.64</v>
      </c>
      <c r="D26" s="17"/>
      <c r="E26" s="17"/>
      <c r="F26" s="17"/>
      <c r="G26" s="17"/>
    </row>
    <row r="27" spans="1:10" ht="33" customHeight="1" x14ac:dyDescent="0.2">
      <c r="A27" s="16"/>
      <c r="B27" s="120" t="s">
        <v>416</v>
      </c>
      <c r="C27" s="126">
        <v>756.9</v>
      </c>
      <c r="D27" s="17"/>
      <c r="E27" s="17"/>
      <c r="F27" s="17"/>
      <c r="G27" s="17"/>
    </row>
    <row r="28" spans="1:10" ht="23.25" customHeight="1" x14ac:dyDescent="0.3">
      <c r="A28" s="16"/>
      <c r="B28" s="120" t="s">
        <v>453</v>
      </c>
      <c r="C28" s="126">
        <v>213.24</v>
      </c>
      <c r="D28" s="17"/>
      <c r="E28" s="17"/>
      <c r="F28" s="17"/>
      <c r="G28" s="17"/>
      <c r="I28" t="s">
        <v>400</v>
      </c>
      <c r="J28" s="254">
        <v>850</v>
      </c>
    </row>
    <row r="29" spans="1:10" ht="23.25" customHeight="1" x14ac:dyDescent="0.2">
      <c r="A29" s="16"/>
      <c r="B29" s="120" t="s">
        <v>454</v>
      </c>
      <c r="C29" s="126">
        <v>295.2</v>
      </c>
      <c r="D29" s="17"/>
      <c r="E29" s="17"/>
      <c r="F29" s="17"/>
      <c r="G29" s="17"/>
    </row>
    <row r="30" spans="1:10" ht="23.25" customHeight="1" x14ac:dyDescent="0.2">
      <c r="A30" s="16"/>
      <c r="B30" s="120" t="s">
        <v>384</v>
      </c>
      <c r="C30" s="126">
        <v>1142.22</v>
      </c>
      <c r="D30" s="159"/>
      <c r="E30" s="17"/>
      <c r="F30" s="17"/>
      <c r="G30" s="17"/>
    </row>
    <row r="31" spans="1:10" ht="23.25" customHeight="1" x14ac:dyDescent="0.2">
      <c r="A31" s="16"/>
      <c r="B31" s="120" t="s">
        <v>421</v>
      </c>
      <c r="C31" s="126">
        <v>914.22</v>
      </c>
      <c r="D31" s="159"/>
      <c r="E31" s="17"/>
      <c r="F31" s="17"/>
      <c r="G31" s="17"/>
    </row>
    <row r="32" spans="1:10" ht="23.25" customHeight="1" x14ac:dyDescent="0.2">
      <c r="A32" s="16"/>
      <c r="B32" s="120" t="s">
        <v>435</v>
      </c>
      <c r="C32" s="126">
        <v>625.91999999999996</v>
      </c>
      <c r="D32" s="136"/>
      <c r="E32" s="10"/>
      <c r="F32" s="10"/>
      <c r="G32" s="10"/>
    </row>
    <row r="33" spans="1:7" ht="23.25" customHeight="1" x14ac:dyDescent="0.2">
      <c r="A33" s="16"/>
      <c r="B33" s="120" t="s">
        <v>436</v>
      </c>
      <c r="C33" s="126">
        <v>681.12</v>
      </c>
      <c r="D33" s="17"/>
      <c r="E33" s="10"/>
      <c r="F33" s="10"/>
      <c r="G33" s="10"/>
    </row>
    <row r="34" spans="1:7" ht="23.25" customHeight="1" x14ac:dyDescent="0.2">
      <c r="A34" s="72"/>
      <c r="B34" s="120" t="s">
        <v>437</v>
      </c>
      <c r="C34" s="126">
        <v>35.82</v>
      </c>
      <c r="D34" s="138"/>
      <c r="E34" s="10"/>
      <c r="F34" s="10"/>
      <c r="G34" s="10"/>
    </row>
    <row r="35" spans="1:7" ht="23.25" customHeight="1" x14ac:dyDescent="0.2">
      <c r="A35" s="16"/>
      <c r="B35" s="120" t="s">
        <v>438</v>
      </c>
      <c r="C35" s="126">
        <v>15.69</v>
      </c>
      <c r="D35" s="137"/>
      <c r="E35" s="10"/>
      <c r="F35" s="10"/>
      <c r="G35" s="10"/>
    </row>
    <row r="36" spans="1:7" ht="23.25" customHeight="1" x14ac:dyDescent="0.2">
      <c r="A36" s="16"/>
      <c r="B36" s="120" t="s">
        <v>441</v>
      </c>
      <c r="C36" s="126">
        <v>1626.66</v>
      </c>
      <c r="D36" s="138"/>
      <c r="E36" s="10"/>
      <c r="F36" s="10"/>
      <c r="G36" s="10"/>
    </row>
    <row r="37" spans="1:7" ht="23.25" customHeight="1" x14ac:dyDescent="0.2">
      <c r="A37" s="16"/>
      <c r="B37" s="120" t="s">
        <v>439</v>
      </c>
      <c r="C37" s="126">
        <v>292.8</v>
      </c>
      <c r="D37" s="138"/>
      <c r="E37" s="10"/>
      <c r="F37" s="10"/>
      <c r="G37" s="10"/>
    </row>
    <row r="38" spans="1:7" ht="23.25" customHeight="1" x14ac:dyDescent="0.2">
      <c r="A38" s="16"/>
      <c r="B38" s="120" t="s">
        <v>440</v>
      </c>
      <c r="C38" s="126">
        <v>35.82</v>
      </c>
      <c r="D38" s="138"/>
      <c r="E38" s="10"/>
      <c r="F38" s="10"/>
      <c r="G38" s="10"/>
    </row>
    <row r="39" spans="1:7" ht="23.25" customHeight="1" x14ac:dyDescent="0.2">
      <c r="A39" s="73"/>
      <c r="B39" s="120" t="s">
        <v>413</v>
      </c>
      <c r="C39" s="135">
        <v>639</v>
      </c>
      <c r="D39" s="136"/>
      <c r="E39" s="10"/>
      <c r="F39" s="10"/>
      <c r="G39" s="10"/>
    </row>
    <row r="40" spans="1:7" ht="23.25" customHeight="1" x14ac:dyDescent="0.2">
      <c r="A40" s="16"/>
      <c r="B40" s="120" t="s">
        <v>443</v>
      </c>
      <c r="C40" s="126">
        <v>94.26</v>
      </c>
      <c r="D40" s="17"/>
      <c r="E40" s="10"/>
      <c r="F40" s="10"/>
      <c r="G40" s="10"/>
    </row>
    <row r="41" spans="1:7" ht="23.25" customHeight="1" thickBot="1" x14ac:dyDescent="0.25">
      <c r="B41" s="122" t="s">
        <v>444</v>
      </c>
      <c r="C41" s="257">
        <v>104.82</v>
      </c>
    </row>
    <row r="42" spans="1:7" ht="23.25" customHeight="1" x14ac:dyDescent="0.2">
      <c r="B42" s="120" t="s">
        <v>455</v>
      </c>
      <c r="C42" s="126">
        <v>755.7</v>
      </c>
    </row>
    <row r="43" spans="1:7" ht="38.25" customHeight="1" thickBot="1" x14ac:dyDescent="0.25">
      <c r="B43" s="277" t="s">
        <v>456</v>
      </c>
      <c r="C43" s="256">
        <v>897.33</v>
      </c>
    </row>
  </sheetData>
  <sheetProtection sheet="1" objects="1" scenarios="1"/>
  <customSheetViews>
    <customSheetView guid="{31C35E15-B94C-48F0-9D3D-ED5C3B09173A}" scale="90" hiddenColumns="1">
      <selection activeCell="B43" sqref="B43"/>
      <pageMargins left="0.7" right="0.7" top="0.75" bottom="0.75" header="0.3" footer="0.3"/>
      <pageSetup paperSize="9" orientation="portrait" horizontalDpi="4294967295" verticalDpi="4294967295" r:id="rId1"/>
    </customSheetView>
  </customSheetViews>
  <mergeCells count="6">
    <mergeCell ref="A1:G2"/>
    <mergeCell ref="B4:B5"/>
    <mergeCell ref="B18:F18"/>
    <mergeCell ref="A20:A21"/>
    <mergeCell ref="B20:B21"/>
    <mergeCell ref="A4:A6"/>
  </mergeCells>
  <pageMargins left="0.7" right="0.7" top="0.75" bottom="0.75" header="0.3" footer="0.3"/>
  <pageSetup paperSize="9" orientation="portrait" horizontalDpi="4294967295" verticalDpi="4294967295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topLeftCell="A16" workbookViewId="0">
      <selection activeCell="E36" sqref="E36"/>
    </sheetView>
  </sheetViews>
  <sheetFormatPr defaultRowHeight="12.75" x14ac:dyDescent="0.2"/>
  <cols>
    <col min="1" max="1" width="19.42578125" customWidth="1"/>
    <col min="2" max="2" width="37.28515625" customWidth="1"/>
    <col min="3" max="3" width="39.28515625" customWidth="1"/>
    <col min="4" max="4" width="10.42578125" customWidth="1"/>
    <col min="5" max="5" width="20.85546875" customWidth="1"/>
    <col min="6" max="6" width="17.140625" customWidth="1"/>
    <col min="7" max="7" width="19.42578125" customWidth="1"/>
    <col min="8" max="8" width="9.140625" customWidth="1"/>
    <col min="9" max="9" width="0.42578125" hidden="1" customWidth="1"/>
    <col min="10" max="10" width="5.140625" hidden="1" customWidth="1"/>
    <col min="11" max="11" width="4" customWidth="1"/>
    <col min="12" max="12" width="10.85546875" customWidth="1"/>
    <col min="257" max="257" width="10.5703125" customWidth="1"/>
    <col min="258" max="258" width="26.7109375" customWidth="1"/>
    <col min="259" max="259" width="37" customWidth="1"/>
    <col min="261" max="261" width="21.85546875" customWidth="1"/>
    <col min="262" max="262" width="17.42578125" customWidth="1"/>
    <col min="263" max="263" width="10" customWidth="1"/>
    <col min="265" max="265" width="11.85546875" customWidth="1"/>
    <col min="513" max="513" width="10.5703125" customWidth="1"/>
    <col min="514" max="514" width="26.7109375" customWidth="1"/>
    <col min="515" max="515" width="37" customWidth="1"/>
    <col min="517" max="517" width="21.85546875" customWidth="1"/>
    <col min="518" max="518" width="17.42578125" customWidth="1"/>
    <col min="519" max="519" width="10" customWidth="1"/>
    <col min="521" max="521" width="11.85546875" customWidth="1"/>
    <col min="769" max="769" width="10.5703125" customWidth="1"/>
    <col min="770" max="770" width="26.7109375" customWidth="1"/>
    <col min="771" max="771" width="37" customWidth="1"/>
    <col min="773" max="773" width="21.85546875" customWidth="1"/>
    <col min="774" max="774" width="17.42578125" customWidth="1"/>
    <col min="775" max="775" width="10" customWidth="1"/>
    <col min="777" max="777" width="11.85546875" customWidth="1"/>
    <col min="1025" max="1025" width="10.5703125" customWidth="1"/>
    <col min="1026" max="1026" width="26.7109375" customWidth="1"/>
    <col min="1027" max="1027" width="37" customWidth="1"/>
    <col min="1029" max="1029" width="21.85546875" customWidth="1"/>
    <col min="1030" max="1030" width="17.42578125" customWidth="1"/>
    <col min="1031" max="1031" width="10" customWidth="1"/>
    <col min="1033" max="1033" width="11.85546875" customWidth="1"/>
    <col min="1281" max="1281" width="10.5703125" customWidth="1"/>
    <col min="1282" max="1282" width="26.7109375" customWidth="1"/>
    <col min="1283" max="1283" width="37" customWidth="1"/>
    <col min="1285" max="1285" width="21.85546875" customWidth="1"/>
    <col min="1286" max="1286" width="17.42578125" customWidth="1"/>
    <col min="1287" max="1287" width="10" customWidth="1"/>
    <col min="1289" max="1289" width="11.85546875" customWidth="1"/>
    <col min="1537" max="1537" width="10.5703125" customWidth="1"/>
    <col min="1538" max="1538" width="26.7109375" customWidth="1"/>
    <col min="1539" max="1539" width="37" customWidth="1"/>
    <col min="1541" max="1541" width="21.85546875" customWidth="1"/>
    <col min="1542" max="1542" width="17.42578125" customWidth="1"/>
    <col min="1543" max="1543" width="10" customWidth="1"/>
    <col min="1545" max="1545" width="11.85546875" customWidth="1"/>
    <col min="1793" max="1793" width="10.5703125" customWidth="1"/>
    <col min="1794" max="1794" width="26.7109375" customWidth="1"/>
    <col min="1795" max="1795" width="37" customWidth="1"/>
    <col min="1797" max="1797" width="21.85546875" customWidth="1"/>
    <col min="1798" max="1798" width="17.42578125" customWidth="1"/>
    <col min="1799" max="1799" width="10" customWidth="1"/>
    <col min="1801" max="1801" width="11.85546875" customWidth="1"/>
    <col min="2049" max="2049" width="10.5703125" customWidth="1"/>
    <col min="2050" max="2050" width="26.7109375" customWidth="1"/>
    <col min="2051" max="2051" width="37" customWidth="1"/>
    <col min="2053" max="2053" width="21.85546875" customWidth="1"/>
    <col min="2054" max="2054" width="17.42578125" customWidth="1"/>
    <col min="2055" max="2055" width="10" customWidth="1"/>
    <col min="2057" max="2057" width="11.85546875" customWidth="1"/>
    <col min="2305" max="2305" width="10.5703125" customWidth="1"/>
    <col min="2306" max="2306" width="26.7109375" customWidth="1"/>
    <col min="2307" max="2307" width="37" customWidth="1"/>
    <col min="2309" max="2309" width="21.85546875" customWidth="1"/>
    <col min="2310" max="2310" width="17.42578125" customWidth="1"/>
    <col min="2311" max="2311" width="10" customWidth="1"/>
    <col min="2313" max="2313" width="11.85546875" customWidth="1"/>
    <col min="2561" max="2561" width="10.5703125" customWidth="1"/>
    <col min="2562" max="2562" width="26.7109375" customWidth="1"/>
    <col min="2563" max="2563" width="37" customWidth="1"/>
    <col min="2565" max="2565" width="21.85546875" customWidth="1"/>
    <col min="2566" max="2566" width="17.42578125" customWidth="1"/>
    <col min="2567" max="2567" width="10" customWidth="1"/>
    <col min="2569" max="2569" width="11.85546875" customWidth="1"/>
    <col min="2817" max="2817" width="10.5703125" customWidth="1"/>
    <col min="2818" max="2818" width="26.7109375" customWidth="1"/>
    <col min="2819" max="2819" width="37" customWidth="1"/>
    <col min="2821" max="2821" width="21.85546875" customWidth="1"/>
    <col min="2822" max="2822" width="17.42578125" customWidth="1"/>
    <col min="2823" max="2823" width="10" customWidth="1"/>
    <col min="2825" max="2825" width="11.85546875" customWidth="1"/>
    <col min="3073" max="3073" width="10.5703125" customWidth="1"/>
    <col min="3074" max="3074" width="26.7109375" customWidth="1"/>
    <col min="3075" max="3075" width="37" customWidth="1"/>
    <col min="3077" max="3077" width="21.85546875" customWidth="1"/>
    <col min="3078" max="3078" width="17.42578125" customWidth="1"/>
    <col min="3079" max="3079" width="10" customWidth="1"/>
    <col min="3081" max="3081" width="11.85546875" customWidth="1"/>
    <col min="3329" max="3329" width="10.5703125" customWidth="1"/>
    <col min="3330" max="3330" width="26.7109375" customWidth="1"/>
    <col min="3331" max="3331" width="37" customWidth="1"/>
    <col min="3333" max="3333" width="21.85546875" customWidth="1"/>
    <col min="3334" max="3334" width="17.42578125" customWidth="1"/>
    <col min="3335" max="3335" width="10" customWidth="1"/>
    <col min="3337" max="3337" width="11.85546875" customWidth="1"/>
    <col min="3585" max="3585" width="10.5703125" customWidth="1"/>
    <col min="3586" max="3586" width="26.7109375" customWidth="1"/>
    <col min="3587" max="3587" width="37" customWidth="1"/>
    <col min="3589" max="3589" width="21.85546875" customWidth="1"/>
    <col min="3590" max="3590" width="17.42578125" customWidth="1"/>
    <col min="3591" max="3591" width="10" customWidth="1"/>
    <col min="3593" max="3593" width="11.85546875" customWidth="1"/>
    <col min="3841" max="3841" width="10.5703125" customWidth="1"/>
    <col min="3842" max="3842" width="26.7109375" customWidth="1"/>
    <col min="3843" max="3843" width="37" customWidth="1"/>
    <col min="3845" max="3845" width="21.85546875" customWidth="1"/>
    <col min="3846" max="3846" width="17.42578125" customWidth="1"/>
    <col min="3847" max="3847" width="10" customWidth="1"/>
    <col min="3849" max="3849" width="11.85546875" customWidth="1"/>
    <col min="4097" max="4097" width="10.5703125" customWidth="1"/>
    <col min="4098" max="4098" width="26.7109375" customWidth="1"/>
    <col min="4099" max="4099" width="37" customWidth="1"/>
    <col min="4101" max="4101" width="21.85546875" customWidth="1"/>
    <col min="4102" max="4102" width="17.42578125" customWidth="1"/>
    <col min="4103" max="4103" width="10" customWidth="1"/>
    <col min="4105" max="4105" width="11.85546875" customWidth="1"/>
    <col min="4353" max="4353" width="10.5703125" customWidth="1"/>
    <col min="4354" max="4354" width="26.7109375" customWidth="1"/>
    <col min="4355" max="4355" width="37" customWidth="1"/>
    <col min="4357" max="4357" width="21.85546875" customWidth="1"/>
    <col min="4358" max="4358" width="17.42578125" customWidth="1"/>
    <col min="4359" max="4359" width="10" customWidth="1"/>
    <col min="4361" max="4361" width="11.85546875" customWidth="1"/>
    <col min="4609" max="4609" width="10.5703125" customWidth="1"/>
    <col min="4610" max="4610" width="26.7109375" customWidth="1"/>
    <col min="4611" max="4611" width="37" customWidth="1"/>
    <col min="4613" max="4613" width="21.85546875" customWidth="1"/>
    <col min="4614" max="4614" width="17.42578125" customWidth="1"/>
    <col min="4615" max="4615" width="10" customWidth="1"/>
    <col min="4617" max="4617" width="11.85546875" customWidth="1"/>
    <col min="4865" max="4865" width="10.5703125" customWidth="1"/>
    <col min="4866" max="4866" width="26.7109375" customWidth="1"/>
    <col min="4867" max="4867" width="37" customWidth="1"/>
    <col min="4869" max="4869" width="21.85546875" customWidth="1"/>
    <col min="4870" max="4870" width="17.42578125" customWidth="1"/>
    <col min="4871" max="4871" width="10" customWidth="1"/>
    <col min="4873" max="4873" width="11.85546875" customWidth="1"/>
    <col min="5121" max="5121" width="10.5703125" customWidth="1"/>
    <col min="5122" max="5122" width="26.7109375" customWidth="1"/>
    <col min="5123" max="5123" width="37" customWidth="1"/>
    <col min="5125" max="5125" width="21.85546875" customWidth="1"/>
    <col min="5126" max="5126" width="17.42578125" customWidth="1"/>
    <col min="5127" max="5127" width="10" customWidth="1"/>
    <col min="5129" max="5129" width="11.85546875" customWidth="1"/>
    <col min="5377" max="5377" width="10.5703125" customWidth="1"/>
    <col min="5378" max="5378" width="26.7109375" customWidth="1"/>
    <col min="5379" max="5379" width="37" customWidth="1"/>
    <col min="5381" max="5381" width="21.85546875" customWidth="1"/>
    <col min="5382" max="5382" width="17.42578125" customWidth="1"/>
    <col min="5383" max="5383" width="10" customWidth="1"/>
    <col min="5385" max="5385" width="11.85546875" customWidth="1"/>
    <col min="5633" max="5633" width="10.5703125" customWidth="1"/>
    <col min="5634" max="5634" width="26.7109375" customWidth="1"/>
    <col min="5635" max="5635" width="37" customWidth="1"/>
    <col min="5637" max="5637" width="21.85546875" customWidth="1"/>
    <col min="5638" max="5638" width="17.42578125" customWidth="1"/>
    <col min="5639" max="5639" width="10" customWidth="1"/>
    <col min="5641" max="5641" width="11.85546875" customWidth="1"/>
    <col min="5889" max="5889" width="10.5703125" customWidth="1"/>
    <col min="5890" max="5890" width="26.7109375" customWidth="1"/>
    <col min="5891" max="5891" width="37" customWidth="1"/>
    <col min="5893" max="5893" width="21.85546875" customWidth="1"/>
    <col min="5894" max="5894" width="17.42578125" customWidth="1"/>
    <col min="5895" max="5895" width="10" customWidth="1"/>
    <col min="5897" max="5897" width="11.85546875" customWidth="1"/>
    <col min="6145" max="6145" width="10.5703125" customWidth="1"/>
    <col min="6146" max="6146" width="26.7109375" customWidth="1"/>
    <col min="6147" max="6147" width="37" customWidth="1"/>
    <col min="6149" max="6149" width="21.85546875" customWidth="1"/>
    <col min="6150" max="6150" width="17.42578125" customWidth="1"/>
    <col min="6151" max="6151" width="10" customWidth="1"/>
    <col min="6153" max="6153" width="11.85546875" customWidth="1"/>
    <col min="6401" max="6401" width="10.5703125" customWidth="1"/>
    <col min="6402" max="6402" width="26.7109375" customWidth="1"/>
    <col min="6403" max="6403" width="37" customWidth="1"/>
    <col min="6405" max="6405" width="21.85546875" customWidth="1"/>
    <col min="6406" max="6406" width="17.42578125" customWidth="1"/>
    <col min="6407" max="6407" width="10" customWidth="1"/>
    <col min="6409" max="6409" width="11.85546875" customWidth="1"/>
    <col min="6657" max="6657" width="10.5703125" customWidth="1"/>
    <col min="6658" max="6658" width="26.7109375" customWidth="1"/>
    <col min="6659" max="6659" width="37" customWidth="1"/>
    <col min="6661" max="6661" width="21.85546875" customWidth="1"/>
    <col min="6662" max="6662" width="17.42578125" customWidth="1"/>
    <col min="6663" max="6663" width="10" customWidth="1"/>
    <col min="6665" max="6665" width="11.85546875" customWidth="1"/>
    <col min="6913" max="6913" width="10.5703125" customWidth="1"/>
    <col min="6914" max="6914" width="26.7109375" customWidth="1"/>
    <col min="6915" max="6915" width="37" customWidth="1"/>
    <col min="6917" max="6917" width="21.85546875" customWidth="1"/>
    <col min="6918" max="6918" width="17.42578125" customWidth="1"/>
    <col min="6919" max="6919" width="10" customWidth="1"/>
    <col min="6921" max="6921" width="11.85546875" customWidth="1"/>
    <col min="7169" max="7169" width="10.5703125" customWidth="1"/>
    <col min="7170" max="7170" width="26.7109375" customWidth="1"/>
    <col min="7171" max="7171" width="37" customWidth="1"/>
    <col min="7173" max="7173" width="21.85546875" customWidth="1"/>
    <col min="7174" max="7174" width="17.42578125" customWidth="1"/>
    <col min="7175" max="7175" width="10" customWidth="1"/>
    <col min="7177" max="7177" width="11.85546875" customWidth="1"/>
    <col min="7425" max="7425" width="10.5703125" customWidth="1"/>
    <col min="7426" max="7426" width="26.7109375" customWidth="1"/>
    <col min="7427" max="7427" width="37" customWidth="1"/>
    <col min="7429" max="7429" width="21.85546875" customWidth="1"/>
    <col min="7430" max="7430" width="17.42578125" customWidth="1"/>
    <col min="7431" max="7431" width="10" customWidth="1"/>
    <col min="7433" max="7433" width="11.85546875" customWidth="1"/>
    <col min="7681" max="7681" width="10.5703125" customWidth="1"/>
    <col min="7682" max="7682" width="26.7109375" customWidth="1"/>
    <col min="7683" max="7683" width="37" customWidth="1"/>
    <col min="7685" max="7685" width="21.85546875" customWidth="1"/>
    <col min="7686" max="7686" width="17.42578125" customWidth="1"/>
    <col min="7687" max="7687" width="10" customWidth="1"/>
    <col min="7689" max="7689" width="11.85546875" customWidth="1"/>
    <col min="7937" max="7937" width="10.5703125" customWidth="1"/>
    <col min="7938" max="7938" width="26.7109375" customWidth="1"/>
    <col min="7939" max="7939" width="37" customWidth="1"/>
    <col min="7941" max="7941" width="21.85546875" customWidth="1"/>
    <col min="7942" max="7942" width="17.42578125" customWidth="1"/>
    <col min="7943" max="7943" width="10" customWidth="1"/>
    <col min="7945" max="7945" width="11.85546875" customWidth="1"/>
    <col min="8193" max="8193" width="10.5703125" customWidth="1"/>
    <col min="8194" max="8194" width="26.7109375" customWidth="1"/>
    <col min="8195" max="8195" width="37" customWidth="1"/>
    <col min="8197" max="8197" width="21.85546875" customWidth="1"/>
    <col min="8198" max="8198" width="17.42578125" customWidth="1"/>
    <col min="8199" max="8199" width="10" customWidth="1"/>
    <col min="8201" max="8201" width="11.85546875" customWidth="1"/>
    <col min="8449" max="8449" width="10.5703125" customWidth="1"/>
    <col min="8450" max="8450" width="26.7109375" customWidth="1"/>
    <col min="8451" max="8451" width="37" customWidth="1"/>
    <col min="8453" max="8453" width="21.85546875" customWidth="1"/>
    <col min="8454" max="8454" width="17.42578125" customWidth="1"/>
    <col min="8455" max="8455" width="10" customWidth="1"/>
    <col min="8457" max="8457" width="11.85546875" customWidth="1"/>
    <col min="8705" max="8705" width="10.5703125" customWidth="1"/>
    <col min="8706" max="8706" width="26.7109375" customWidth="1"/>
    <col min="8707" max="8707" width="37" customWidth="1"/>
    <col min="8709" max="8709" width="21.85546875" customWidth="1"/>
    <col min="8710" max="8710" width="17.42578125" customWidth="1"/>
    <col min="8711" max="8711" width="10" customWidth="1"/>
    <col min="8713" max="8713" width="11.85546875" customWidth="1"/>
    <col min="8961" max="8961" width="10.5703125" customWidth="1"/>
    <col min="8962" max="8962" width="26.7109375" customWidth="1"/>
    <col min="8963" max="8963" width="37" customWidth="1"/>
    <col min="8965" max="8965" width="21.85546875" customWidth="1"/>
    <col min="8966" max="8966" width="17.42578125" customWidth="1"/>
    <col min="8967" max="8967" width="10" customWidth="1"/>
    <col min="8969" max="8969" width="11.85546875" customWidth="1"/>
    <col min="9217" max="9217" width="10.5703125" customWidth="1"/>
    <col min="9218" max="9218" width="26.7109375" customWidth="1"/>
    <col min="9219" max="9219" width="37" customWidth="1"/>
    <col min="9221" max="9221" width="21.85546875" customWidth="1"/>
    <col min="9222" max="9222" width="17.42578125" customWidth="1"/>
    <col min="9223" max="9223" width="10" customWidth="1"/>
    <col min="9225" max="9225" width="11.85546875" customWidth="1"/>
    <col min="9473" max="9473" width="10.5703125" customWidth="1"/>
    <col min="9474" max="9474" width="26.7109375" customWidth="1"/>
    <col min="9475" max="9475" width="37" customWidth="1"/>
    <col min="9477" max="9477" width="21.85546875" customWidth="1"/>
    <col min="9478" max="9478" width="17.42578125" customWidth="1"/>
    <col min="9479" max="9479" width="10" customWidth="1"/>
    <col min="9481" max="9481" width="11.85546875" customWidth="1"/>
    <col min="9729" max="9729" width="10.5703125" customWidth="1"/>
    <col min="9730" max="9730" width="26.7109375" customWidth="1"/>
    <col min="9731" max="9731" width="37" customWidth="1"/>
    <col min="9733" max="9733" width="21.85546875" customWidth="1"/>
    <col min="9734" max="9734" width="17.42578125" customWidth="1"/>
    <col min="9735" max="9735" width="10" customWidth="1"/>
    <col min="9737" max="9737" width="11.85546875" customWidth="1"/>
    <col min="9985" max="9985" width="10.5703125" customWidth="1"/>
    <col min="9986" max="9986" width="26.7109375" customWidth="1"/>
    <col min="9987" max="9987" width="37" customWidth="1"/>
    <col min="9989" max="9989" width="21.85546875" customWidth="1"/>
    <col min="9990" max="9990" width="17.42578125" customWidth="1"/>
    <col min="9991" max="9991" width="10" customWidth="1"/>
    <col min="9993" max="9993" width="11.85546875" customWidth="1"/>
    <col min="10241" max="10241" width="10.5703125" customWidth="1"/>
    <col min="10242" max="10242" width="26.7109375" customWidth="1"/>
    <col min="10243" max="10243" width="37" customWidth="1"/>
    <col min="10245" max="10245" width="21.85546875" customWidth="1"/>
    <col min="10246" max="10246" width="17.42578125" customWidth="1"/>
    <col min="10247" max="10247" width="10" customWidth="1"/>
    <col min="10249" max="10249" width="11.85546875" customWidth="1"/>
    <col min="10497" max="10497" width="10.5703125" customWidth="1"/>
    <col min="10498" max="10498" width="26.7109375" customWidth="1"/>
    <col min="10499" max="10499" width="37" customWidth="1"/>
    <col min="10501" max="10501" width="21.85546875" customWidth="1"/>
    <col min="10502" max="10502" width="17.42578125" customWidth="1"/>
    <col min="10503" max="10503" width="10" customWidth="1"/>
    <col min="10505" max="10505" width="11.85546875" customWidth="1"/>
    <col min="10753" max="10753" width="10.5703125" customWidth="1"/>
    <col min="10754" max="10754" width="26.7109375" customWidth="1"/>
    <col min="10755" max="10755" width="37" customWidth="1"/>
    <col min="10757" max="10757" width="21.85546875" customWidth="1"/>
    <col min="10758" max="10758" width="17.42578125" customWidth="1"/>
    <col min="10759" max="10759" width="10" customWidth="1"/>
    <col min="10761" max="10761" width="11.85546875" customWidth="1"/>
    <col min="11009" max="11009" width="10.5703125" customWidth="1"/>
    <col min="11010" max="11010" width="26.7109375" customWidth="1"/>
    <col min="11011" max="11011" width="37" customWidth="1"/>
    <col min="11013" max="11013" width="21.85546875" customWidth="1"/>
    <col min="11014" max="11014" width="17.42578125" customWidth="1"/>
    <col min="11015" max="11015" width="10" customWidth="1"/>
    <col min="11017" max="11017" width="11.85546875" customWidth="1"/>
    <col min="11265" max="11265" width="10.5703125" customWidth="1"/>
    <col min="11266" max="11266" width="26.7109375" customWidth="1"/>
    <col min="11267" max="11267" width="37" customWidth="1"/>
    <col min="11269" max="11269" width="21.85546875" customWidth="1"/>
    <col min="11270" max="11270" width="17.42578125" customWidth="1"/>
    <col min="11271" max="11271" width="10" customWidth="1"/>
    <col min="11273" max="11273" width="11.85546875" customWidth="1"/>
    <col min="11521" max="11521" width="10.5703125" customWidth="1"/>
    <col min="11522" max="11522" width="26.7109375" customWidth="1"/>
    <col min="11523" max="11523" width="37" customWidth="1"/>
    <col min="11525" max="11525" width="21.85546875" customWidth="1"/>
    <col min="11526" max="11526" width="17.42578125" customWidth="1"/>
    <col min="11527" max="11527" width="10" customWidth="1"/>
    <col min="11529" max="11529" width="11.85546875" customWidth="1"/>
    <col min="11777" max="11777" width="10.5703125" customWidth="1"/>
    <col min="11778" max="11778" width="26.7109375" customWidth="1"/>
    <col min="11779" max="11779" width="37" customWidth="1"/>
    <col min="11781" max="11781" width="21.85546875" customWidth="1"/>
    <col min="11782" max="11782" width="17.42578125" customWidth="1"/>
    <col min="11783" max="11783" width="10" customWidth="1"/>
    <col min="11785" max="11785" width="11.85546875" customWidth="1"/>
    <col min="12033" max="12033" width="10.5703125" customWidth="1"/>
    <col min="12034" max="12034" width="26.7109375" customWidth="1"/>
    <col min="12035" max="12035" width="37" customWidth="1"/>
    <col min="12037" max="12037" width="21.85546875" customWidth="1"/>
    <col min="12038" max="12038" width="17.42578125" customWidth="1"/>
    <col min="12039" max="12039" width="10" customWidth="1"/>
    <col min="12041" max="12041" width="11.85546875" customWidth="1"/>
    <col min="12289" max="12289" width="10.5703125" customWidth="1"/>
    <col min="12290" max="12290" width="26.7109375" customWidth="1"/>
    <col min="12291" max="12291" width="37" customWidth="1"/>
    <col min="12293" max="12293" width="21.85546875" customWidth="1"/>
    <col min="12294" max="12294" width="17.42578125" customWidth="1"/>
    <col min="12295" max="12295" width="10" customWidth="1"/>
    <col min="12297" max="12297" width="11.85546875" customWidth="1"/>
    <col min="12545" max="12545" width="10.5703125" customWidth="1"/>
    <col min="12546" max="12546" width="26.7109375" customWidth="1"/>
    <col min="12547" max="12547" width="37" customWidth="1"/>
    <col min="12549" max="12549" width="21.85546875" customWidth="1"/>
    <col min="12550" max="12550" width="17.42578125" customWidth="1"/>
    <col min="12551" max="12551" width="10" customWidth="1"/>
    <col min="12553" max="12553" width="11.85546875" customWidth="1"/>
    <col min="12801" max="12801" width="10.5703125" customWidth="1"/>
    <col min="12802" max="12802" width="26.7109375" customWidth="1"/>
    <col min="12803" max="12803" width="37" customWidth="1"/>
    <col min="12805" max="12805" width="21.85546875" customWidth="1"/>
    <col min="12806" max="12806" width="17.42578125" customWidth="1"/>
    <col min="12807" max="12807" width="10" customWidth="1"/>
    <col min="12809" max="12809" width="11.85546875" customWidth="1"/>
    <col min="13057" max="13057" width="10.5703125" customWidth="1"/>
    <col min="13058" max="13058" width="26.7109375" customWidth="1"/>
    <col min="13059" max="13059" width="37" customWidth="1"/>
    <col min="13061" max="13061" width="21.85546875" customWidth="1"/>
    <col min="13062" max="13062" width="17.42578125" customWidth="1"/>
    <col min="13063" max="13063" width="10" customWidth="1"/>
    <col min="13065" max="13065" width="11.85546875" customWidth="1"/>
    <col min="13313" max="13313" width="10.5703125" customWidth="1"/>
    <col min="13314" max="13314" width="26.7109375" customWidth="1"/>
    <col min="13315" max="13315" width="37" customWidth="1"/>
    <col min="13317" max="13317" width="21.85546875" customWidth="1"/>
    <col min="13318" max="13318" width="17.42578125" customWidth="1"/>
    <col min="13319" max="13319" width="10" customWidth="1"/>
    <col min="13321" max="13321" width="11.85546875" customWidth="1"/>
    <col min="13569" max="13569" width="10.5703125" customWidth="1"/>
    <col min="13570" max="13570" width="26.7109375" customWidth="1"/>
    <col min="13571" max="13571" width="37" customWidth="1"/>
    <col min="13573" max="13573" width="21.85546875" customWidth="1"/>
    <col min="13574" max="13574" width="17.42578125" customWidth="1"/>
    <col min="13575" max="13575" width="10" customWidth="1"/>
    <col min="13577" max="13577" width="11.85546875" customWidth="1"/>
    <col min="13825" max="13825" width="10.5703125" customWidth="1"/>
    <col min="13826" max="13826" width="26.7109375" customWidth="1"/>
    <col min="13827" max="13827" width="37" customWidth="1"/>
    <col min="13829" max="13829" width="21.85546875" customWidth="1"/>
    <col min="13830" max="13830" width="17.42578125" customWidth="1"/>
    <col min="13831" max="13831" width="10" customWidth="1"/>
    <col min="13833" max="13833" width="11.85546875" customWidth="1"/>
    <col min="14081" max="14081" width="10.5703125" customWidth="1"/>
    <col min="14082" max="14082" width="26.7109375" customWidth="1"/>
    <col min="14083" max="14083" width="37" customWidth="1"/>
    <col min="14085" max="14085" width="21.85546875" customWidth="1"/>
    <col min="14086" max="14086" width="17.42578125" customWidth="1"/>
    <col min="14087" max="14087" width="10" customWidth="1"/>
    <col min="14089" max="14089" width="11.85546875" customWidth="1"/>
    <col min="14337" max="14337" width="10.5703125" customWidth="1"/>
    <col min="14338" max="14338" width="26.7109375" customWidth="1"/>
    <col min="14339" max="14339" width="37" customWidth="1"/>
    <col min="14341" max="14341" width="21.85546875" customWidth="1"/>
    <col min="14342" max="14342" width="17.42578125" customWidth="1"/>
    <col min="14343" max="14343" width="10" customWidth="1"/>
    <col min="14345" max="14345" width="11.85546875" customWidth="1"/>
    <col min="14593" max="14593" width="10.5703125" customWidth="1"/>
    <col min="14594" max="14594" width="26.7109375" customWidth="1"/>
    <col min="14595" max="14595" width="37" customWidth="1"/>
    <col min="14597" max="14597" width="21.85546875" customWidth="1"/>
    <col min="14598" max="14598" width="17.42578125" customWidth="1"/>
    <col min="14599" max="14599" width="10" customWidth="1"/>
    <col min="14601" max="14601" width="11.85546875" customWidth="1"/>
    <col min="14849" max="14849" width="10.5703125" customWidth="1"/>
    <col min="14850" max="14850" width="26.7109375" customWidth="1"/>
    <col min="14851" max="14851" width="37" customWidth="1"/>
    <col min="14853" max="14853" width="21.85546875" customWidth="1"/>
    <col min="14854" max="14854" width="17.42578125" customWidth="1"/>
    <col min="14855" max="14855" width="10" customWidth="1"/>
    <col min="14857" max="14857" width="11.85546875" customWidth="1"/>
    <col min="15105" max="15105" width="10.5703125" customWidth="1"/>
    <col min="15106" max="15106" width="26.7109375" customWidth="1"/>
    <col min="15107" max="15107" width="37" customWidth="1"/>
    <col min="15109" max="15109" width="21.85546875" customWidth="1"/>
    <col min="15110" max="15110" width="17.42578125" customWidth="1"/>
    <col min="15111" max="15111" width="10" customWidth="1"/>
    <col min="15113" max="15113" width="11.85546875" customWidth="1"/>
    <col min="15361" max="15361" width="10.5703125" customWidth="1"/>
    <col min="15362" max="15362" width="26.7109375" customWidth="1"/>
    <col min="15363" max="15363" width="37" customWidth="1"/>
    <col min="15365" max="15365" width="21.85546875" customWidth="1"/>
    <col min="15366" max="15366" width="17.42578125" customWidth="1"/>
    <col min="15367" max="15367" width="10" customWidth="1"/>
    <col min="15369" max="15369" width="11.85546875" customWidth="1"/>
    <col min="15617" max="15617" width="10.5703125" customWidth="1"/>
    <col min="15618" max="15618" width="26.7109375" customWidth="1"/>
    <col min="15619" max="15619" width="37" customWidth="1"/>
    <col min="15621" max="15621" width="21.85546875" customWidth="1"/>
    <col min="15622" max="15622" width="17.42578125" customWidth="1"/>
    <col min="15623" max="15623" width="10" customWidth="1"/>
    <col min="15625" max="15625" width="11.85546875" customWidth="1"/>
    <col min="15873" max="15873" width="10.5703125" customWidth="1"/>
    <col min="15874" max="15874" width="26.7109375" customWidth="1"/>
    <col min="15875" max="15875" width="37" customWidth="1"/>
    <col min="15877" max="15877" width="21.85546875" customWidth="1"/>
    <col min="15878" max="15878" width="17.42578125" customWidth="1"/>
    <col min="15879" max="15879" width="10" customWidth="1"/>
    <col min="15881" max="15881" width="11.85546875" customWidth="1"/>
    <col min="16129" max="16129" width="10.5703125" customWidth="1"/>
    <col min="16130" max="16130" width="26.7109375" customWidth="1"/>
    <col min="16131" max="16131" width="37" customWidth="1"/>
    <col min="16133" max="16133" width="21.85546875" customWidth="1"/>
    <col min="16134" max="16134" width="17.42578125" customWidth="1"/>
    <col min="16135" max="16135" width="10" customWidth="1"/>
    <col min="16137" max="16137" width="11.85546875" customWidth="1"/>
  </cols>
  <sheetData>
    <row r="1" spans="1:8" ht="15.75" hidden="1" x14ac:dyDescent="0.25">
      <c r="A1" s="12"/>
      <c r="B1" s="12"/>
      <c r="C1" s="12"/>
      <c r="D1" s="12"/>
      <c r="E1" s="57"/>
      <c r="F1" s="44" t="s">
        <v>118</v>
      </c>
      <c r="G1" s="44"/>
      <c r="H1" s="44"/>
    </row>
    <row r="2" spans="1:8" ht="15.75" hidden="1" x14ac:dyDescent="0.25">
      <c r="A2" s="12"/>
      <c r="B2" s="12"/>
      <c r="C2" s="12"/>
      <c r="D2" s="12"/>
      <c r="E2" s="57"/>
      <c r="F2" s="44" t="s">
        <v>119</v>
      </c>
      <c r="G2" s="44"/>
      <c r="H2" s="44"/>
    </row>
    <row r="3" spans="1:8" ht="15.75" hidden="1" x14ac:dyDescent="0.25">
      <c r="A3" s="12"/>
      <c r="B3" s="12"/>
      <c r="C3" s="12"/>
      <c r="D3" s="12"/>
      <c r="E3" s="57"/>
      <c r="F3" s="44" t="s">
        <v>120</v>
      </c>
      <c r="G3" s="44"/>
      <c r="H3" s="44"/>
    </row>
    <row r="4" spans="1:8" ht="15.75" hidden="1" x14ac:dyDescent="0.25">
      <c r="A4" s="12"/>
      <c r="B4" s="12"/>
      <c r="C4" s="12"/>
      <c r="D4" s="12"/>
      <c r="E4" s="57"/>
      <c r="F4" s="44"/>
      <c r="G4" s="44"/>
      <c r="H4" s="44"/>
    </row>
    <row r="5" spans="1:8" ht="15.75" hidden="1" x14ac:dyDescent="0.25">
      <c r="A5" s="12"/>
      <c r="B5" s="12"/>
      <c r="C5" s="12"/>
      <c r="D5" s="12"/>
      <c r="E5" s="57"/>
      <c r="F5" s="44"/>
      <c r="G5" s="44"/>
      <c r="H5" s="44"/>
    </row>
    <row r="6" spans="1:8" ht="15.75" hidden="1" x14ac:dyDescent="0.25">
      <c r="A6" s="12"/>
      <c r="B6" s="12"/>
      <c r="C6" s="12"/>
      <c r="D6" s="12"/>
      <c r="E6" s="57"/>
      <c r="F6" s="44" t="s">
        <v>179</v>
      </c>
      <c r="G6" s="44"/>
      <c r="H6" s="44"/>
    </row>
    <row r="7" spans="1:8" ht="27.75" customHeight="1" x14ac:dyDescent="0.2">
      <c r="A7" s="12"/>
      <c r="B7" s="283" t="s">
        <v>217</v>
      </c>
      <c r="C7" s="284"/>
      <c r="D7" s="284"/>
      <c r="E7" s="284"/>
      <c r="F7" s="284"/>
      <c r="G7" s="284"/>
      <c r="H7" s="45"/>
    </row>
    <row r="8" spans="1:8" ht="22.5" customHeight="1" thickBot="1" x14ac:dyDescent="0.25">
      <c r="A8" s="46"/>
      <c r="B8" s="285"/>
      <c r="C8" s="285"/>
      <c r="D8" s="285"/>
      <c r="E8" s="285"/>
      <c r="F8" s="285"/>
      <c r="G8" s="285"/>
    </row>
    <row r="9" spans="1:8" ht="42" customHeight="1" thickBot="1" x14ac:dyDescent="0.25">
      <c r="A9" s="41" t="s">
        <v>0</v>
      </c>
      <c r="B9" s="42" t="s">
        <v>1</v>
      </c>
      <c r="C9" s="42" t="s">
        <v>4</v>
      </c>
      <c r="D9" s="42" t="s">
        <v>2</v>
      </c>
      <c r="E9" s="42" t="s">
        <v>3</v>
      </c>
      <c r="F9" s="42" t="s">
        <v>6</v>
      </c>
      <c r="G9" s="70" t="s">
        <v>5</v>
      </c>
    </row>
    <row r="10" spans="1:8" ht="27" customHeight="1" x14ac:dyDescent="0.2">
      <c r="A10" s="171" t="s">
        <v>228</v>
      </c>
      <c r="B10" s="174" t="s">
        <v>145</v>
      </c>
      <c r="C10" s="174" t="s">
        <v>218</v>
      </c>
      <c r="D10" s="174">
        <v>0.9</v>
      </c>
      <c r="E10" s="174">
        <f t="shared" ref="E10:E21" si="0">D10*$J$25</f>
        <v>765</v>
      </c>
      <c r="F10" s="174">
        <f>C28+C37+C32*10</f>
        <v>2691.42</v>
      </c>
      <c r="G10" s="69">
        <f t="shared" ref="G10:G24" si="1">E10+F10</f>
        <v>3456.42</v>
      </c>
    </row>
    <row r="11" spans="1:8" ht="40.5" customHeight="1" x14ac:dyDescent="0.2">
      <c r="A11" s="297" t="s">
        <v>234</v>
      </c>
      <c r="B11" s="299" t="s">
        <v>53</v>
      </c>
      <c r="C11" s="173" t="s">
        <v>219</v>
      </c>
      <c r="D11" s="173">
        <v>1.8</v>
      </c>
      <c r="E11" s="173">
        <f t="shared" si="0"/>
        <v>1530</v>
      </c>
      <c r="F11" s="173">
        <f>C28+C29+C30+C31+C37+C32*10+C43+C44</f>
        <v>6203.16</v>
      </c>
      <c r="G11" s="35">
        <f t="shared" si="1"/>
        <v>7733.16</v>
      </c>
    </row>
    <row r="12" spans="1:8" ht="28.5" hidden="1" customHeight="1" x14ac:dyDescent="0.2">
      <c r="A12" s="298"/>
      <c r="B12" s="300"/>
      <c r="C12" s="173" t="s">
        <v>188</v>
      </c>
      <c r="D12" s="173">
        <v>0</v>
      </c>
      <c r="E12" s="173">
        <f t="shared" si="0"/>
        <v>0</v>
      </c>
      <c r="F12" s="173">
        <v>0</v>
      </c>
      <c r="G12" s="35">
        <f t="shared" si="1"/>
        <v>0</v>
      </c>
    </row>
    <row r="13" spans="1:8" ht="26.25" customHeight="1" x14ac:dyDescent="0.2">
      <c r="A13" s="168" t="s">
        <v>235</v>
      </c>
      <c r="B13" s="170" t="s">
        <v>145</v>
      </c>
      <c r="C13" s="170" t="s">
        <v>218</v>
      </c>
      <c r="D13" s="170">
        <v>0.9</v>
      </c>
      <c r="E13" s="170">
        <f t="shared" si="0"/>
        <v>765</v>
      </c>
      <c r="F13" s="170">
        <f>F10</f>
        <v>2691.42</v>
      </c>
      <c r="G13" s="35">
        <f t="shared" si="1"/>
        <v>3456.42</v>
      </c>
    </row>
    <row r="14" spans="1:8" ht="42.75" customHeight="1" x14ac:dyDescent="0.2">
      <c r="A14" s="168" t="s">
        <v>236</v>
      </c>
      <c r="B14" s="172" t="s">
        <v>53</v>
      </c>
      <c r="C14" s="173" t="s">
        <v>220</v>
      </c>
      <c r="D14" s="173">
        <v>1.8</v>
      </c>
      <c r="E14" s="173">
        <f t="shared" si="0"/>
        <v>1530</v>
      </c>
      <c r="F14" s="173">
        <f>F11</f>
        <v>6203.16</v>
      </c>
      <c r="G14" s="35">
        <f t="shared" si="1"/>
        <v>7733.16</v>
      </c>
    </row>
    <row r="15" spans="1:8" ht="25.5" x14ac:dyDescent="0.2">
      <c r="A15" s="168" t="s">
        <v>237</v>
      </c>
      <c r="B15" s="170" t="s">
        <v>145</v>
      </c>
      <c r="C15" s="170" t="s">
        <v>218</v>
      </c>
      <c r="D15" s="170">
        <v>0.9</v>
      </c>
      <c r="E15" s="170">
        <f t="shared" si="0"/>
        <v>765</v>
      </c>
      <c r="F15" s="170">
        <f>F10</f>
        <v>2691.42</v>
      </c>
      <c r="G15" s="35">
        <f t="shared" si="1"/>
        <v>3456.42</v>
      </c>
    </row>
    <row r="16" spans="1:8" ht="38.25" customHeight="1" x14ac:dyDescent="0.2">
      <c r="A16" s="168" t="s">
        <v>238</v>
      </c>
      <c r="B16" s="172" t="s">
        <v>53</v>
      </c>
      <c r="C16" s="173" t="s">
        <v>221</v>
      </c>
      <c r="D16" s="173">
        <v>1.8</v>
      </c>
      <c r="E16" s="173">
        <f t="shared" si="0"/>
        <v>1530</v>
      </c>
      <c r="F16" s="173">
        <f>F11</f>
        <v>6203.16</v>
      </c>
      <c r="G16" s="35">
        <f t="shared" si="1"/>
        <v>7733.16</v>
      </c>
    </row>
    <row r="17" spans="1:39" ht="15.75" hidden="1" x14ac:dyDescent="0.2">
      <c r="A17" s="187"/>
      <c r="B17" s="169" t="s">
        <v>61</v>
      </c>
      <c r="C17" s="169" t="s">
        <v>62</v>
      </c>
      <c r="D17" s="169">
        <v>0</v>
      </c>
      <c r="E17" s="170">
        <f t="shared" si="0"/>
        <v>0</v>
      </c>
      <c r="F17" s="169">
        <v>0</v>
      </c>
      <c r="G17" s="35">
        <f t="shared" si="1"/>
        <v>0</v>
      </c>
    </row>
    <row r="18" spans="1:39" ht="19.5" customHeight="1" x14ac:dyDescent="0.2">
      <c r="A18" s="168" t="s">
        <v>241</v>
      </c>
      <c r="B18" s="172" t="s">
        <v>63</v>
      </c>
      <c r="C18" s="173" t="s">
        <v>222</v>
      </c>
      <c r="D18" s="26">
        <v>0.2</v>
      </c>
      <c r="E18" s="173">
        <f t="shared" si="0"/>
        <v>170</v>
      </c>
      <c r="F18" s="26">
        <f>C34*2.1</f>
        <v>2398.6620000000003</v>
      </c>
      <c r="G18" s="36">
        <f t="shared" si="1"/>
        <v>2568.6620000000003</v>
      </c>
    </row>
    <row r="19" spans="1:39" ht="15.75" x14ac:dyDescent="0.2">
      <c r="A19" s="168" t="s">
        <v>242</v>
      </c>
      <c r="B19" s="169" t="s">
        <v>64</v>
      </c>
      <c r="C19" s="170" t="s">
        <v>223</v>
      </c>
      <c r="D19" s="13">
        <v>0.2</v>
      </c>
      <c r="E19" s="170">
        <f t="shared" si="0"/>
        <v>170</v>
      </c>
      <c r="F19" s="14">
        <f>C42*1.8</f>
        <v>469.08000000000004</v>
      </c>
      <c r="G19" s="36">
        <f t="shared" si="1"/>
        <v>639.08000000000004</v>
      </c>
    </row>
    <row r="20" spans="1:39" ht="15.75" x14ac:dyDescent="0.2">
      <c r="A20" s="168" t="s">
        <v>65</v>
      </c>
      <c r="B20" s="172" t="s">
        <v>66</v>
      </c>
      <c r="C20" s="172" t="s">
        <v>7</v>
      </c>
      <c r="D20" s="26">
        <v>0.8</v>
      </c>
      <c r="E20" s="173">
        <f t="shared" si="0"/>
        <v>680</v>
      </c>
      <c r="F20" s="26">
        <f>C35</f>
        <v>625.91999999999996</v>
      </c>
      <c r="G20" s="36">
        <f t="shared" si="1"/>
        <v>1305.92</v>
      </c>
    </row>
    <row r="21" spans="1:39" ht="15.75" x14ac:dyDescent="0.2">
      <c r="A21" s="168" t="s">
        <v>67</v>
      </c>
      <c r="B21" s="169" t="s">
        <v>68</v>
      </c>
      <c r="C21" s="15" t="s">
        <v>425</v>
      </c>
      <c r="D21" s="13">
        <v>0.3</v>
      </c>
      <c r="E21" s="170">
        <f t="shared" si="0"/>
        <v>255</v>
      </c>
      <c r="F21" s="13">
        <f>C36*4+C38*4</f>
        <v>2787.2400000000002</v>
      </c>
      <c r="G21" s="36">
        <f t="shared" si="1"/>
        <v>3042.2400000000002</v>
      </c>
    </row>
    <row r="22" spans="1:39" s="9" customFormat="1" ht="48.75" customHeight="1" x14ac:dyDescent="0.2">
      <c r="A22" s="314" t="s">
        <v>191</v>
      </c>
      <c r="B22" s="304"/>
      <c r="C22" s="304"/>
      <c r="D22" s="304"/>
      <c r="E22" s="304"/>
      <c r="F22" s="304"/>
      <c r="G22" s="315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  <row r="23" spans="1:39" ht="25.5" x14ac:dyDescent="0.2">
      <c r="A23" s="168" t="s">
        <v>228</v>
      </c>
      <c r="B23" s="170" t="s">
        <v>145</v>
      </c>
      <c r="C23" s="170" t="s">
        <v>218</v>
      </c>
      <c r="D23" s="170">
        <v>0.9</v>
      </c>
      <c r="E23" s="170">
        <f>J25*D23</f>
        <v>765</v>
      </c>
      <c r="F23" s="170">
        <f>C33*10+C28+C37</f>
        <v>3511.02</v>
      </c>
      <c r="G23" s="35">
        <f t="shared" si="1"/>
        <v>4276.0200000000004</v>
      </c>
    </row>
    <row r="24" spans="1:39" ht="54" customHeight="1" thickBot="1" x14ac:dyDescent="0.25">
      <c r="A24" s="297" t="s">
        <v>239</v>
      </c>
      <c r="B24" s="311" t="s">
        <v>53</v>
      </c>
      <c r="C24" s="64" t="s">
        <v>220</v>
      </c>
      <c r="D24" s="64">
        <v>1.8</v>
      </c>
      <c r="E24" s="64">
        <f>J25*D24</f>
        <v>1530</v>
      </c>
      <c r="F24" s="64">
        <f>C28+C29+C30+C31+C33*10+C37+C43+C44</f>
        <v>7022.7599999999993</v>
      </c>
      <c r="G24" s="37">
        <f t="shared" si="1"/>
        <v>8552.7599999999984</v>
      </c>
    </row>
    <row r="25" spans="1:39" ht="31.5" customHeight="1" thickBot="1" x14ac:dyDescent="0.25">
      <c r="A25" s="313"/>
      <c r="B25" s="312"/>
      <c r="C25" s="195"/>
      <c r="D25" s="195"/>
      <c r="E25" s="195"/>
      <c r="F25" s="195"/>
      <c r="G25" s="196"/>
      <c r="I25" s="118" t="s">
        <v>69</v>
      </c>
      <c r="J25" s="119">
        <v>850</v>
      </c>
    </row>
    <row r="26" spans="1:39" s="10" customFormat="1" ht="18" customHeight="1" thickBot="1" x14ac:dyDescent="0.25">
      <c r="A26" s="193"/>
      <c r="B26" s="194"/>
      <c r="C26" s="17"/>
      <c r="D26" s="17"/>
      <c r="E26" s="17"/>
      <c r="F26" s="17"/>
      <c r="G26" s="67"/>
    </row>
    <row r="27" spans="1:39" ht="18.75" thickBot="1" x14ac:dyDescent="0.3">
      <c r="A27" s="17"/>
      <c r="B27" s="65" t="s">
        <v>49</v>
      </c>
      <c r="C27" s="124" t="s">
        <v>121</v>
      </c>
      <c r="D27" s="17"/>
      <c r="E27" s="17"/>
      <c r="F27" s="17"/>
      <c r="G27" s="17"/>
    </row>
    <row r="28" spans="1:39" ht="14.25" x14ac:dyDescent="0.2">
      <c r="A28" s="71"/>
      <c r="B28" s="120" t="s">
        <v>155</v>
      </c>
      <c r="C28" s="133">
        <v>523.20000000000005</v>
      </c>
      <c r="D28" s="17"/>
      <c r="E28" s="17"/>
      <c r="F28" s="17"/>
      <c r="G28" s="17"/>
    </row>
    <row r="29" spans="1:39" ht="14.25" x14ac:dyDescent="0.2">
      <c r="A29" s="16"/>
      <c r="B29" s="120" t="s">
        <v>449</v>
      </c>
      <c r="C29" s="135">
        <v>916.2</v>
      </c>
      <c r="D29" s="17"/>
      <c r="E29" s="17"/>
      <c r="F29" s="17"/>
      <c r="G29" s="17"/>
    </row>
    <row r="30" spans="1:39" ht="14.25" x14ac:dyDescent="0.2">
      <c r="A30" s="16"/>
      <c r="B30" s="120" t="s">
        <v>450</v>
      </c>
      <c r="C30" s="134">
        <v>1269.8399999999999</v>
      </c>
      <c r="D30" s="17"/>
      <c r="E30" s="17"/>
      <c r="F30" s="17"/>
      <c r="G30" s="17"/>
    </row>
    <row r="31" spans="1:39" ht="14.25" x14ac:dyDescent="0.2">
      <c r="A31" s="16"/>
      <c r="B31" s="120" t="s">
        <v>416</v>
      </c>
      <c r="C31" s="135">
        <v>1126.6199999999999</v>
      </c>
      <c r="D31" s="17"/>
      <c r="E31" s="17"/>
      <c r="F31" s="17"/>
      <c r="G31" s="17"/>
    </row>
    <row r="32" spans="1:39" ht="14.25" x14ac:dyDescent="0.2">
      <c r="A32" s="16"/>
      <c r="B32" s="120" t="s">
        <v>431</v>
      </c>
      <c r="C32" s="126">
        <v>213.24</v>
      </c>
      <c r="D32" s="17"/>
      <c r="E32" s="17"/>
      <c r="F32" s="17"/>
      <c r="G32" s="17"/>
    </row>
    <row r="33" spans="1:7" ht="28.5" x14ac:dyDescent="0.2">
      <c r="A33" s="16"/>
      <c r="B33" s="130" t="s">
        <v>432</v>
      </c>
      <c r="C33" s="126">
        <v>295.2</v>
      </c>
      <c r="D33" s="17"/>
      <c r="E33" s="17"/>
      <c r="F33" s="17"/>
      <c r="G33" s="17"/>
    </row>
    <row r="34" spans="1:7" ht="14.25" x14ac:dyDescent="0.2">
      <c r="A34" s="16"/>
      <c r="B34" s="130" t="s">
        <v>433</v>
      </c>
      <c r="C34" s="126">
        <v>1142.22</v>
      </c>
      <c r="D34" s="159"/>
      <c r="E34" s="17"/>
      <c r="F34" s="17"/>
      <c r="G34" s="17"/>
    </row>
    <row r="35" spans="1:7" ht="14.25" x14ac:dyDescent="0.2">
      <c r="A35" s="16"/>
      <c r="B35" s="130" t="s">
        <v>435</v>
      </c>
      <c r="C35" s="126">
        <v>625.91999999999996</v>
      </c>
      <c r="D35" s="136"/>
      <c r="E35" s="10"/>
      <c r="F35" s="10"/>
      <c r="G35" s="10"/>
    </row>
    <row r="36" spans="1:7" ht="14.25" x14ac:dyDescent="0.2">
      <c r="A36" s="16"/>
      <c r="B36" s="130" t="s">
        <v>436</v>
      </c>
      <c r="C36" s="126">
        <v>681.12</v>
      </c>
      <c r="D36" s="17"/>
      <c r="E36" s="10"/>
      <c r="F36" s="10"/>
      <c r="G36" s="10"/>
    </row>
    <row r="37" spans="1:7" ht="14.25" x14ac:dyDescent="0.2">
      <c r="A37" s="72"/>
      <c r="B37" s="130" t="s">
        <v>437</v>
      </c>
      <c r="C37" s="126">
        <v>35.82</v>
      </c>
      <c r="D37" s="138"/>
      <c r="E37" s="10"/>
      <c r="F37" s="10"/>
      <c r="G37" s="10"/>
    </row>
    <row r="38" spans="1:7" ht="14.25" x14ac:dyDescent="0.2">
      <c r="A38" s="16"/>
      <c r="B38" s="130" t="s">
        <v>438</v>
      </c>
      <c r="C38" s="126">
        <v>15.69</v>
      </c>
      <c r="D38" s="137"/>
      <c r="E38" s="10"/>
      <c r="F38" s="10"/>
      <c r="G38" s="10"/>
    </row>
    <row r="39" spans="1:7" ht="14.25" hidden="1" x14ac:dyDescent="0.2">
      <c r="A39" s="16"/>
      <c r="B39" s="120" t="s">
        <v>91</v>
      </c>
      <c r="C39" s="144"/>
      <c r="D39" s="138"/>
      <c r="E39" s="10"/>
      <c r="F39" s="10"/>
      <c r="G39" s="10"/>
    </row>
    <row r="40" spans="1:7" ht="14.25" hidden="1" x14ac:dyDescent="0.2">
      <c r="A40" s="16"/>
      <c r="B40" s="120" t="s">
        <v>89</v>
      </c>
      <c r="C40" s="144"/>
      <c r="D40" s="138"/>
      <c r="E40" s="10"/>
      <c r="F40" s="10"/>
      <c r="G40" s="10"/>
    </row>
    <row r="41" spans="1:7" ht="14.25" hidden="1" x14ac:dyDescent="0.2">
      <c r="A41" s="16"/>
      <c r="B41" s="120" t="s">
        <v>90</v>
      </c>
      <c r="C41" s="144"/>
      <c r="D41" s="138"/>
      <c r="E41" s="10"/>
      <c r="F41" s="10"/>
      <c r="G41" s="10"/>
    </row>
    <row r="42" spans="1:7" ht="14.25" x14ac:dyDescent="0.2">
      <c r="A42" s="73"/>
      <c r="B42" s="120" t="s">
        <v>452</v>
      </c>
      <c r="C42" s="135">
        <v>260.60000000000002</v>
      </c>
      <c r="D42" s="136"/>
      <c r="E42" s="10"/>
      <c r="F42" s="10"/>
      <c r="G42" s="10"/>
    </row>
    <row r="43" spans="1:7" ht="14.25" x14ac:dyDescent="0.2">
      <c r="A43" s="16"/>
      <c r="B43" s="130" t="s">
        <v>443</v>
      </c>
      <c r="C43" s="126">
        <v>94.26</v>
      </c>
      <c r="D43" s="17"/>
      <c r="E43" s="10"/>
      <c r="F43" s="10"/>
      <c r="G43" s="10"/>
    </row>
    <row r="44" spans="1:7" ht="15" thickBot="1" x14ac:dyDescent="0.25">
      <c r="A44" s="18"/>
      <c r="B44" s="131" t="s">
        <v>444</v>
      </c>
      <c r="C44" s="127">
        <v>104.82</v>
      </c>
      <c r="D44" s="17"/>
      <c r="E44" s="10"/>
      <c r="F44" s="10"/>
      <c r="G44" s="10"/>
    </row>
    <row r="45" spans="1:7" x14ac:dyDescent="0.2">
      <c r="A45" s="8"/>
      <c r="B45" s="2"/>
      <c r="C45" s="2"/>
    </row>
    <row r="46" spans="1:7" x14ac:dyDescent="0.2">
      <c r="A46" s="8"/>
    </row>
    <row r="47" spans="1:7" x14ac:dyDescent="0.2">
      <c r="A47" s="8"/>
    </row>
  </sheetData>
  <sheetProtection algorithmName="SHA-512" hashValue="tMB43IABeOPl8VpdP08FQs9FIe7nYwQe81kk+2NBWC6R4Oa9BTnWC8895fZsaznevhhglcis1a/EFJcwhI6Xtg==" saltValue="nop0wxwYKGczK/u/9pvUMg==" spinCount="100000" sheet="1" objects="1" scenarios="1" formatCells="0" formatColumns="0" formatRows="0" insertColumns="0" insertRows="0" insertHyperlinks="0" deleteColumns="0" deleteRows="0" sort="0" autoFilter="0" pivotTables="0"/>
  <customSheetViews>
    <customSheetView guid="{31C35E15-B94C-48F0-9D3D-ED5C3B09173A}" hiddenRows="1" hiddenColumns="1" topLeftCell="A16">
      <selection activeCell="E36" sqref="E36"/>
      <pageMargins left="0.7" right="0.7" top="0.75" bottom="0.75" header="0.3" footer="0.3"/>
    </customSheetView>
  </customSheetViews>
  <mergeCells count="6">
    <mergeCell ref="B24:B25"/>
    <mergeCell ref="A24:A25"/>
    <mergeCell ref="B7:G8"/>
    <mergeCell ref="A11:A12"/>
    <mergeCell ref="B11:B12"/>
    <mergeCell ref="A22:G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C32" sqref="C32"/>
    </sheetView>
  </sheetViews>
  <sheetFormatPr defaultColWidth="26" defaultRowHeight="36" customHeight="1" x14ac:dyDescent="0.2"/>
  <cols>
    <col min="2" max="2" width="33.28515625" customWidth="1"/>
    <col min="3" max="3" width="39.5703125" customWidth="1"/>
    <col min="4" max="4" width="12.7109375" customWidth="1"/>
    <col min="5" max="5" width="13.5703125" customWidth="1"/>
    <col min="6" max="6" width="16" customWidth="1"/>
    <col min="7" max="7" width="18" customWidth="1"/>
    <col min="8" max="8" width="2.5703125" customWidth="1"/>
    <col min="9" max="9" width="23.85546875" hidden="1" customWidth="1"/>
    <col min="10" max="10" width="26" hidden="1" customWidth="1"/>
  </cols>
  <sheetData>
    <row r="1" spans="1:7" ht="36" customHeight="1" thickBot="1" x14ac:dyDescent="0.25">
      <c r="A1" s="316" t="s">
        <v>415</v>
      </c>
      <c r="B1" s="316"/>
      <c r="C1" s="316"/>
      <c r="D1" s="316"/>
      <c r="E1" s="316"/>
      <c r="F1" s="316"/>
      <c r="G1" s="316"/>
    </row>
    <row r="2" spans="1:7" ht="36" customHeight="1" thickBot="1" x14ac:dyDescent="0.25">
      <c r="A2" s="278" t="s">
        <v>395</v>
      </c>
      <c r="B2" s="253" t="s">
        <v>145</v>
      </c>
      <c r="C2" s="253" t="s">
        <v>417</v>
      </c>
      <c r="D2" s="253">
        <v>0.8</v>
      </c>
      <c r="E2" s="253">
        <f t="shared" ref="E2:E12" si="0">D2*$J$20</f>
        <v>680</v>
      </c>
      <c r="F2" s="253">
        <f>C14+C24+C18*8</f>
        <v>2463.9</v>
      </c>
      <c r="G2" s="279">
        <f t="shared" ref="G2:G12" si="1">E2+F2</f>
        <v>3143.9</v>
      </c>
    </row>
    <row r="3" spans="1:7" ht="36" customHeight="1" x14ac:dyDescent="0.2">
      <c r="A3" s="308" t="s">
        <v>102</v>
      </c>
      <c r="B3" s="305" t="s">
        <v>53</v>
      </c>
      <c r="C3" s="251" t="s">
        <v>418</v>
      </c>
      <c r="D3" s="251">
        <v>1.9</v>
      </c>
      <c r="E3" s="251">
        <f t="shared" si="0"/>
        <v>1615</v>
      </c>
      <c r="F3" s="251">
        <f>C14+C15+C16+C17+C24+C18*8+C27+C28</f>
        <v>6638.16</v>
      </c>
      <c r="G3" s="35">
        <f t="shared" si="1"/>
        <v>8253.16</v>
      </c>
    </row>
    <row r="4" spans="1:7" ht="36" customHeight="1" x14ac:dyDescent="0.2">
      <c r="A4" s="309"/>
      <c r="B4" s="306"/>
      <c r="C4" s="251" t="s">
        <v>423</v>
      </c>
      <c r="D4" s="251">
        <f>1.9+1.3</f>
        <v>3.2</v>
      </c>
      <c r="E4" s="251">
        <f t="shared" si="0"/>
        <v>2720</v>
      </c>
      <c r="F4" s="261"/>
      <c r="G4" s="35">
        <f t="shared" si="1"/>
        <v>2720</v>
      </c>
    </row>
    <row r="5" spans="1:7" ht="36" customHeight="1" x14ac:dyDescent="0.2">
      <c r="A5" s="260" t="s">
        <v>396</v>
      </c>
      <c r="B5" s="245" t="s">
        <v>145</v>
      </c>
      <c r="C5" s="245" t="s">
        <v>417</v>
      </c>
      <c r="D5" s="245">
        <v>0.8</v>
      </c>
      <c r="E5" s="245">
        <f t="shared" si="0"/>
        <v>680</v>
      </c>
      <c r="F5" s="252">
        <f>F2</f>
        <v>2463.9</v>
      </c>
      <c r="G5" s="259">
        <f t="shared" si="1"/>
        <v>3143.9</v>
      </c>
    </row>
    <row r="6" spans="1:7" ht="36" customHeight="1" x14ac:dyDescent="0.2">
      <c r="A6" s="243" t="s">
        <v>397</v>
      </c>
      <c r="B6" s="249" t="s">
        <v>53</v>
      </c>
      <c r="C6" s="251" t="s">
        <v>419</v>
      </c>
      <c r="D6" s="251">
        <v>1.9</v>
      </c>
      <c r="E6" s="251">
        <f t="shared" si="0"/>
        <v>1615</v>
      </c>
      <c r="F6" s="251">
        <f>F3</f>
        <v>6638.16</v>
      </c>
      <c r="G6" s="35">
        <f t="shared" si="1"/>
        <v>8253.16</v>
      </c>
    </row>
    <row r="7" spans="1:7" ht="36" customHeight="1" x14ac:dyDescent="0.2">
      <c r="A7" s="262" t="s">
        <v>398</v>
      </c>
      <c r="B7" s="245" t="s">
        <v>145</v>
      </c>
      <c r="C7" s="245" t="s">
        <v>417</v>
      </c>
      <c r="D7" s="245">
        <v>0.8</v>
      </c>
      <c r="E7" s="245">
        <f t="shared" si="0"/>
        <v>680</v>
      </c>
      <c r="F7" s="252">
        <f>F2</f>
        <v>2463.9</v>
      </c>
      <c r="G7" s="259">
        <f t="shared" si="1"/>
        <v>3143.9</v>
      </c>
    </row>
    <row r="8" spans="1:7" ht="36" customHeight="1" x14ac:dyDescent="0.2">
      <c r="A8" s="243" t="s">
        <v>399</v>
      </c>
      <c r="B8" s="249" t="s">
        <v>53</v>
      </c>
      <c r="C8" s="251" t="s">
        <v>420</v>
      </c>
      <c r="D8" s="251">
        <v>1.9</v>
      </c>
      <c r="E8" s="251">
        <f t="shared" si="0"/>
        <v>1615</v>
      </c>
      <c r="F8" s="251">
        <f>F3</f>
        <v>6638.16</v>
      </c>
      <c r="G8" s="35">
        <f t="shared" si="1"/>
        <v>8253.16</v>
      </c>
    </row>
    <row r="9" spans="1:7" ht="36" customHeight="1" x14ac:dyDescent="0.2">
      <c r="A9" s="258">
        <v>120000</v>
      </c>
      <c r="B9" s="244" t="s">
        <v>61</v>
      </c>
      <c r="C9" s="246" t="s">
        <v>422</v>
      </c>
      <c r="D9" s="244">
        <v>1.4</v>
      </c>
      <c r="E9" s="245">
        <f t="shared" si="0"/>
        <v>1190</v>
      </c>
      <c r="F9" s="252"/>
      <c r="G9" s="259">
        <f t="shared" si="1"/>
        <v>1190</v>
      </c>
    </row>
    <row r="10" spans="1:7" ht="36" customHeight="1" x14ac:dyDescent="0.2">
      <c r="A10" s="243" t="s">
        <v>401</v>
      </c>
      <c r="B10" s="249" t="s">
        <v>63</v>
      </c>
      <c r="C10" s="251" t="s">
        <v>189</v>
      </c>
      <c r="D10" s="26">
        <v>0.2</v>
      </c>
      <c r="E10" s="251">
        <f t="shared" si="0"/>
        <v>170</v>
      </c>
      <c r="F10" s="251">
        <f>C20*3</f>
        <v>3426.66</v>
      </c>
      <c r="G10" s="36">
        <f t="shared" si="1"/>
        <v>3596.66</v>
      </c>
    </row>
    <row r="11" spans="1:7" ht="36" customHeight="1" thickBot="1" x14ac:dyDescent="0.25">
      <c r="A11" s="247" t="s">
        <v>334</v>
      </c>
      <c r="B11" s="248" t="s">
        <v>66</v>
      </c>
      <c r="C11" s="248" t="s">
        <v>7</v>
      </c>
      <c r="D11" s="264">
        <v>0.8</v>
      </c>
      <c r="E11" s="265">
        <f t="shared" si="0"/>
        <v>680</v>
      </c>
      <c r="F11" s="265">
        <f>C22</f>
        <v>625.91999999999996</v>
      </c>
      <c r="G11" s="266">
        <f t="shared" si="1"/>
        <v>1305.92</v>
      </c>
    </row>
    <row r="12" spans="1:7" ht="36" customHeight="1" thickBot="1" x14ac:dyDescent="0.25">
      <c r="A12" s="273" t="s">
        <v>402</v>
      </c>
      <c r="B12" s="269" t="s">
        <v>68</v>
      </c>
      <c r="C12" s="270" t="s">
        <v>424</v>
      </c>
      <c r="D12" s="271">
        <v>0.3</v>
      </c>
      <c r="E12" s="272">
        <f t="shared" si="0"/>
        <v>255</v>
      </c>
      <c r="F12" s="272">
        <f>C23*3+C25*4</f>
        <v>2106.1200000000003</v>
      </c>
      <c r="G12" s="274">
        <f t="shared" si="1"/>
        <v>2361.1200000000003</v>
      </c>
    </row>
    <row r="13" spans="1:7" ht="22.5" customHeight="1" thickBot="1" x14ac:dyDescent="0.3">
      <c r="A13" s="17"/>
      <c r="B13" s="65" t="s">
        <v>49</v>
      </c>
      <c r="C13" s="124" t="s">
        <v>121</v>
      </c>
      <c r="D13" s="17"/>
      <c r="E13" s="17"/>
      <c r="F13" s="17"/>
      <c r="G13" s="67"/>
    </row>
    <row r="14" spans="1:7" ht="22.5" customHeight="1" x14ac:dyDescent="0.2">
      <c r="A14" s="71"/>
      <c r="B14" s="143" t="s">
        <v>427</v>
      </c>
      <c r="C14" s="125">
        <v>722.16</v>
      </c>
      <c r="D14" s="17"/>
      <c r="E14" s="17"/>
      <c r="F14" s="17"/>
      <c r="G14" s="17"/>
    </row>
    <row r="15" spans="1:7" ht="22.5" customHeight="1" x14ac:dyDescent="0.2">
      <c r="A15" s="16"/>
      <c r="B15" s="120" t="s">
        <v>428</v>
      </c>
      <c r="C15" s="126">
        <v>2978.82</v>
      </c>
      <c r="D15" s="17"/>
      <c r="E15" s="17"/>
      <c r="F15" s="17"/>
      <c r="G15" s="17"/>
    </row>
    <row r="16" spans="1:7" ht="22.5" customHeight="1" x14ac:dyDescent="0.2">
      <c r="A16" s="16"/>
      <c r="B16" s="120" t="s">
        <v>450</v>
      </c>
      <c r="C16" s="126">
        <v>996.36</v>
      </c>
      <c r="D16" s="17"/>
      <c r="E16" s="17"/>
      <c r="F16" s="17"/>
      <c r="G16" s="17"/>
    </row>
    <row r="17" spans="1:10" ht="22.5" customHeight="1" x14ac:dyDescent="0.2">
      <c r="A17" s="16"/>
      <c r="B17" s="120" t="s">
        <v>416</v>
      </c>
      <c r="C17" s="126"/>
      <c r="D17" s="17"/>
      <c r="E17" s="17"/>
      <c r="F17" s="17"/>
      <c r="G17" s="17"/>
    </row>
    <row r="18" spans="1:10" ht="22.5" customHeight="1" x14ac:dyDescent="0.2">
      <c r="A18" s="16"/>
      <c r="B18" s="120" t="s">
        <v>410</v>
      </c>
      <c r="C18" s="126">
        <v>213.24</v>
      </c>
      <c r="D18" s="17"/>
      <c r="E18" s="17"/>
      <c r="F18" s="17"/>
      <c r="G18" s="17"/>
    </row>
    <row r="19" spans="1:10" ht="22.5" customHeight="1" x14ac:dyDescent="0.2">
      <c r="A19" s="16"/>
      <c r="B19" s="120" t="s">
        <v>409</v>
      </c>
      <c r="C19" s="126">
        <v>295.2</v>
      </c>
      <c r="D19" s="17"/>
      <c r="E19" s="17"/>
      <c r="F19" s="17"/>
      <c r="G19" s="17"/>
    </row>
    <row r="20" spans="1:10" ht="22.5" customHeight="1" x14ac:dyDescent="0.3">
      <c r="A20" s="16"/>
      <c r="B20" s="120" t="s">
        <v>433</v>
      </c>
      <c r="C20" s="126">
        <v>1142.22</v>
      </c>
      <c r="D20" s="17"/>
      <c r="E20" s="17"/>
      <c r="F20" s="17"/>
      <c r="G20" s="17"/>
      <c r="J20" s="280">
        <v>850</v>
      </c>
    </row>
    <row r="21" spans="1:10" ht="22.5" customHeight="1" x14ac:dyDescent="0.3">
      <c r="A21" s="16"/>
      <c r="B21" s="120" t="s">
        <v>421</v>
      </c>
      <c r="C21" s="126"/>
      <c r="D21" s="159"/>
      <c r="E21" s="17"/>
      <c r="F21" s="17"/>
      <c r="G21" s="17"/>
      <c r="J21" s="254"/>
    </row>
    <row r="22" spans="1:10" ht="22.5" customHeight="1" x14ac:dyDescent="0.2">
      <c r="A22" s="16"/>
      <c r="B22" s="120" t="s">
        <v>435</v>
      </c>
      <c r="C22" s="126">
        <v>625.91999999999996</v>
      </c>
      <c r="D22" s="159"/>
      <c r="E22" s="17"/>
      <c r="F22" s="17"/>
      <c r="G22" s="17"/>
    </row>
    <row r="23" spans="1:10" ht="22.5" customHeight="1" x14ac:dyDescent="0.2">
      <c r="A23" s="16"/>
      <c r="B23" s="120" t="s">
        <v>436</v>
      </c>
      <c r="C23" s="126">
        <v>681.12</v>
      </c>
      <c r="D23" s="136"/>
      <c r="E23" s="10"/>
      <c r="F23" s="10"/>
      <c r="G23" s="10"/>
    </row>
    <row r="24" spans="1:10" ht="22.5" customHeight="1" x14ac:dyDescent="0.2">
      <c r="A24" s="72"/>
      <c r="B24" s="120" t="s">
        <v>437</v>
      </c>
      <c r="C24" s="126">
        <v>35.82</v>
      </c>
      <c r="D24" s="17"/>
      <c r="E24" s="10"/>
      <c r="F24" s="10"/>
      <c r="G24" s="10"/>
    </row>
    <row r="25" spans="1:10" ht="22.5" customHeight="1" x14ac:dyDescent="0.2">
      <c r="A25" s="16"/>
      <c r="B25" s="120" t="s">
        <v>438</v>
      </c>
      <c r="C25" s="126">
        <v>15.69</v>
      </c>
      <c r="D25" s="138"/>
      <c r="E25" s="10"/>
      <c r="F25" s="10"/>
      <c r="G25" s="10"/>
    </row>
    <row r="26" spans="1:10" ht="22.5" customHeight="1" x14ac:dyDescent="0.2">
      <c r="A26" s="16"/>
      <c r="B26" s="120" t="s">
        <v>457</v>
      </c>
      <c r="C26" s="126"/>
      <c r="D26" s="137"/>
      <c r="E26" s="10"/>
      <c r="F26" s="10"/>
      <c r="G26" s="10"/>
    </row>
    <row r="27" spans="1:10" ht="22.5" customHeight="1" x14ac:dyDescent="0.2">
      <c r="A27" s="16"/>
      <c r="B27" s="120" t="s">
        <v>443</v>
      </c>
      <c r="C27" s="126">
        <v>94.26</v>
      </c>
      <c r="D27" s="138"/>
      <c r="E27" s="10"/>
      <c r="F27" s="10"/>
      <c r="G27" s="10"/>
    </row>
    <row r="28" spans="1:10" ht="22.5" customHeight="1" thickBot="1" x14ac:dyDescent="0.25">
      <c r="B28" s="122" t="s">
        <v>444</v>
      </c>
      <c r="C28" s="127">
        <v>104.82</v>
      </c>
      <c r="D28" s="17"/>
      <c r="E28" s="10"/>
      <c r="F28" s="10"/>
      <c r="G28" s="10"/>
    </row>
    <row r="29" spans="1:10" ht="18.75" customHeight="1" x14ac:dyDescent="0.2"/>
    <row r="30" spans="1:10" ht="36" customHeight="1" x14ac:dyDescent="0.2">
      <c r="E30" s="281"/>
    </row>
  </sheetData>
  <sheetProtection algorithmName="SHA-512" hashValue="fCmE4hRFJnvIY/dFMvrSiChFLwcAwg0qvjn4MY28HtEPRuD4p2n1LjpbLPo8eGfOkJjP1x58hJgeSWv8DnOM6w==" saltValue="7Fe0HRzjZD+yn7KzRY024g==" spinCount="100000" sheet="1" objects="1" scenarios="1"/>
  <customSheetViews>
    <customSheetView guid="{31C35E15-B94C-48F0-9D3D-ED5C3B09173A}" hiddenColumns="1">
      <selection activeCell="C32" sqref="C32"/>
      <pageMargins left="0.7" right="0.7" top="0.75" bottom="0.75" header="0.3" footer="0.3"/>
    </customSheetView>
  </customSheetViews>
  <mergeCells count="3">
    <mergeCell ref="A3:A4"/>
    <mergeCell ref="B3:B4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19</vt:i4>
      </vt:variant>
    </vt:vector>
  </HeadingPairs>
  <TitlesOfParts>
    <vt:vector size="45" baseType="lpstr">
      <vt:lpstr>639</vt:lpstr>
      <vt:lpstr>415</vt:lpstr>
      <vt:lpstr>447</vt:lpstr>
      <vt:lpstr>447 (перед.привод)</vt:lpstr>
      <vt:lpstr>904</vt:lpstr>
      <vt:lpstr>906</vt:lpstr>
      <vt:lpstr>907</vt:lpstr>
      <vt:lpstr>909</vt:lpstr>
      <vt:lpstr>910</vt:lpstr>
      <vt:lpstr>Atego 970057</vt:lpstr>
      <vt:lpstr>Аtego 970058</vt:lpstr>
      <vt:lpstr>Axor 944032</vt:lpstr>
      <vt:lpstr>Actros 932317(4мост)</vt:lpstr>
      <vt:lpstr>Actros 930208</vt:lpstr>
      <vt:lpstr>Actros 934141</vt:lpstr>
      <vt:lpstr>Unimoug 405100</vt:lpstr>
      <vt:lpstr>Atego970265</vt:lpstr>
      <vt:lpstr>Atego970277</vt:lpstr>
      <vt:lpstr>Axor950535</vt:lpstr>
      <vt:lpstr>Axor950605</vt:lpstr>
      <vt:lpstr>Actros934032new</vt:lpstr>
      <vt:lpstr>Actros930205</vt:lpstr>
      <vt:lpstr>Actros930145</vt:lpstr>
      <vt:lpstr>Actros932163</vt:lpstr>
      <vt:lpstr>Actros932315</vt:lpstr>
      <vt:lpstr>Actros 9634031</vt:lpstr>
      <vt:lpstr>'639'!Область_печати</vt:lpstr>
      <vt:lpstr>'904'!Область_печати</vt:lpstr>
      <vt:lpstr>'906'!Область_печати</vt:lpstr>
      <vt:lpstr>'Actros 930208'!Область_печати</vt:lpstr>
      <vt:lpstr>'Actros 932317(4мост)'!Область_печати</vt:lpstr>
      <vt:lpstr>'Actros 934141'!Область_печати</vt:lpstr>
      <vt:lpstr>Actros930145!Область_печати</vt:lpstr>
      <vt:lpstr>Actros930205!Область_печати</vt:lpstr>
      <vt:lpstr>Actros932163!Область_печати</vt:lpstr>
      <vt:lpstr>Actros932315!Область_печати</vt:lpstr>
      <vt:lpstr>Actros934032new!Область_печати</vt:lpstr>
      <vt:lpstr>'Atego 970057'!Область_печати</vt:lpstr>
      <vt:lpstr>Atego970265!Область_печати</vt:lpstr>
      <vt:lpstr>Atego970277!Область_печати</vt:lpstr>
      <vt:lpstr>'Axor 944032'!Область_печати</vt:lpstr>
      <vt:lpstr>Axor950535!Область_печати</vt:lpstr>
      <vt:lpstr>Axor950605!Область_печати</vt:lpstr>
      <vt:lpstr>'Unimoug 405100'!Область_печати</vt:lpstr>
      <vt:lpstr>'Аtego 970058'!Область_печати</vt:lpstr>
    </vt:vector>
  </TitlesOfParts>
  <Company>Mercedes-Benz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sergey.silenko</dc:creator>
  <cp:lastModifiedBy>(ATL) Інна Миколаївна Силенко</cp:lastModifiedBy>
  <cp:lastPrinted>2015-01-05T12:27:41Z</cp:lastPrinted>
  <dcterms:created xsi:type="dcterms:W3CDTF">2010-03-11T06:58:30Z</dcterms:created>
  <dcterms:modified xsi:type="dcterms:W3CDTF">2018-11-06T08:49:35Z</dcterms:modified>
</cp:coreProperties>
</file>